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aul.dolphin\Live\18225 LT TOTHAM\05 DATA\02 CLIENT\"/>
    </mc:Choice>
  </mc:AlternateContent>
  <bookViews>
    <workbookView xWindow="0" yWindow="0" windowWidth="17055" windowHeight="7230"/>
  </bookViews>
  <sheets>
    <sheet name="SUMMARY" sheetId="6" r:id="rId1"/>
    <sheet name="DIR1" sheetId="3" r:id="rId2"/>
    <sheet name="DIR2" sheetId="4" r:id="rId3"/>
    <sheet name="config" sheetId="5" state="hidden" r:id="rId4"/>
  </sheets>
  <definedNames>
    <definedName name="_Toc380999782" localSheetId="0">SUMMARY!$C$188</definedName>
    <definedName name="_Toc380999783" localSheetId="0">SUMMARY!#REF!</definedName>
    <definedName name="_Toc380999784" localSheetId="0">SUMMARY!#REF!</definedName>
    <definedName name="_Toc380999785" localSheetId="0">SUMMARY!#REF!</definedName>
    <definedName name="_Toc380999786" localSheetId="0">SUMMARY!#REF!</definedName>
    <definedName name="_Toc380999787" localSheetId="0">SUMMARY!#REF!</definedName>
    <definedName name="_Toc380999788" localSheetId="0">SUMMARY!$C$191</definedName>
    <definedName name="_Toc380999789" localSheetId="0">SUMMARY!$K$191</definedName>
    <definedName name="_Toc380999790" localSheetId="0">SUMMARY!#REF!</definedName>
    <definedName name="_Toc380999791" localSheetId="0">SUMMARY!#REF!</definedName>
    <definedName name="_Toc380999792" localSheetId="0">SUMMARY!$K$188</definedName>
    <definedName name="_xlnm.Print_Area" localSheetId="0">SUMMARY!$B$1:$R$207</definedName>
  </definedNames>
  <calcPr calcId="152511"/>
  <extLst>
    <ext xmlns:x14="http://schemas.microsoft.com/office/spreadsheetml/2009/9/main" uri="{79F54976-1DA5-4618-B147-4CDE4B953A38}">
      <x14:workbookPr discardImageEditData="1"/>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6" l="1"/>
  <c r="N55" i="6" l="1"/>
  <c r="D62" i="5" l="1"/>
  <c r="K40" i="6" l="1"/>
  <c r="K41" i="6"/>
  <c r="E5" i="5" l="1"/>
  <c r="E13" i="5" l="1"/>
  <c r="E15" i="5"/>
  <c r="E12" i="5"/>
  <c r="E11" i="5"/>
  <c r="C79" i="6" l="1"/>
  <c r="CI5" i="5" l="1"/>
  <c r="K15" i="6"/>
  <c r="C139" i="6" l="1"/>
  <c r="C28" i="6"/>
  <c r="CI6" i="5"/>
  <c r="C84" i="6" l="1"/>
  <c r="C64" i="6"/>
  <c r="K139" i="6"/>
  <c r="K28" i="6"/>
  <c r="CV12" i="4"/>
  <c r="CV13" i="4"/>
  <c r="CV14" i="4"/>
  <c r="CV15" i="4"/>
  <c r="CV16" i="4"/>
  <c r="CV17" i="4"/>
  <c r="CV18" i="4"/>
  <c r="CV19" i="4"/>
  <c r="CV20" i="4"/>
  <c r="CV21" i="4"/>
  <c r="CV22" i="4"/>
  <c r="CV23" i="4"/>
  <c r="CV24" i="4"/>
  <c r="CV25" i="4"/>
  <c r="CV26" i="4"/>
  <c r="CV27" i="4"/>
  <c r="CV28" i="4"/>
  <c r="CV29" i="4"/>
  <c r="CV30" i="4"/>
  <c r="CV31" i="4"/>
  <c r="CV32" i="4"/>
  <c r="CV33" i="4"/>
  <c r="CV34" i="4"/>
  <c r="CV35" i="4"/>
  <c r="CV36" i="4"/>
  <c r="CV37" i="4"/>
  <c r="CV38" i="4"/>
  <c r="CV39" i="4"/>
  <c r="CV40" i="4"/>
  <c r="CV41" i="4"/>
  <c r="CV42" i="4"/>
  <c r="CV43" i="4"/>
  <c r="CV44" i="4"/>
  <c r="CV45" i="4"/>
  <c r="CV46" i="4"/>
  <c r="CV47" i="4"/>
  <c r="CV48" i="4"/>
  <c r="CV49" i="4"/>
  <c r="CV50" i="4"/>
  <c r="CV51" i="4"/>
  <c r="CV52" i="4"/>
  <c r="CV53" i="4"/>
  <c r="CV54" i="4"/>
  <c r="CV55" i="4"/>
  <c r="CV56" i="4"/>
  <c r="CV57" i="4"/>
  <c r="CV58" i="4"/>
  <c r="CV59" i="4"/>
  <c r="CV60" i="4"/>
  <c r="CV61" i="4"/>
  <c r="CV62" i="4"/>
  <c r="CV63" i="4"/>
  <c r="CV64" i="4"/>
  <c r="CV65" i="4"/>
  <c r="CV66" i="4"/>
  <c r="CV67" i="4"/>
  <c r="CV68" i="4"/>
  <c r="CV69" i="4"/>
  <c r="CV70" i="4"/>
  <c r="CV71" i="4"/>
  <c r="CV72" i="4"/>
  <c r="CV73" i="4"/>
  <c r="CV74" i="4"/>
  <c r="CV75" i="4"/>
  <c r="CV76" i="4"/>
  <c r="CV77" i="4"/>
  <c r="CV78" i="4"/>
  <c r="CV79" i="4"/>
  <c r="CV80" i="4"/>
  <c r="CV81" i="4"/>
  <c r="CV82" i="4"/>
  <c r="CV83" i="4"/>
  <c r="CV84" i="4"/>
  <c r="CV85" i="4"/>
  <c r="CV86" i="4"/>
  <c r="CV87" i="4"/>
  <c r="CV88" i="4"/>
  <c r="CV89" i="4"/>
  <c r="CV90" i="4"/>
  <c r="CV91" i="4"/>
  <c r="CV92" i="4"/>
  <c r="CV93" i="4"/>
  <c r="CV94" i="4"/>
  <c r="CV95" i="4"/>
  <c r="CV96" i="4"/>
  <c r="CV97" i="4"/>
  <c r="CV98" i="4"/>
  <c r="CV99" i="4"/>
  <c r="CV100" i="4"/>
  <c r="CV101" i="4"/>
  <c r="CV102" i="4"/>
  <c r="CV103" i="4"/>
  <c r="CV104" i="4"/>
  <c r="CV105" i="4"/>
  <c r="CV106" i="4"/>
  <c r="CV12" i="3"/>
  <c r="CV13" i="3"/>
  <c r="CV14" i="3"/>
  <c r="CV15" i="3"/>
  <c r="CV16" i="3"/>
  <c r="CV17" i="3"/>
  <c r="CV18" i="3"/>
  <c r="CV19" i="3"/>
  <c r="CV20" i="3"/>
  <c r="CV21" i="3"/>
  <c r="CV22" i="3"/>
  <c r="CV23" i="3"/>
  <c r="CV24" i="3"/>
  <c r="CV25" i="3"/>
  <c r="CV26" i="3"/>
  <c r="CV27" i="3"/>
  <c r="CV28" i="3"/>
  <c r="CV29" i="3"/>
  <c r="CV30" i="3"/>
  <c r="CV31" i="3"/>
  <c r="CV32" i="3"/>
  <c r="CV33" i="3"/>
  <c r="CV34" i="3"/>
  <c r="CV35" i="3"/>
  <c r="CV36" i="3"/>
  <c r="CV37" i="3"/>
  <c r="CV38" i="3"/>
  <c r="CV39" i="3"/>
  <c r="CV40" i="3"/>
  <c r="CV41" i="3"/>
  <c r="CV42" i="3"/>
  <c r="CV43" i="3"/>
  <c r="CV44" i="3"/>
  <c r="CV45" i="3"/>
  <c r="CV46" i="3"/>
  <c r="CV47" i="3"/>
  <c r="CV48" i="3"/>
  <c r="CV49" i="3"/>
  <c r="CV50" i="3"/>
  <c r="CV51" i="3"/>
  <c r="CV52" i="3"/>
  <c r="CV53" i="3"/>
  <c r="CV54" i="3"/>
  <c r="CV55" i="3"/>
  <c r="CV56" i="3"/>
  <c r="CV57" i="3"/>
  <c r="CV58" i="3"/>
  <c r="CV59" i="3"/>
  <c r="CV60" i="3"/>
  <c r="CV61" i="3"/>
  <c r="CV62" i="3"/>
  <c r="CV63" i="3"/>
  <c r="CV64" i="3"/>
  <c r="CV65" i="3"/>
  <c r="CV66" i="3"/>
  <c r="CV67" i="3"/>
  <c r="CV68" i="3"/>
  <c r="CV69" i="3"/>
  <c r="CV70" i="3"/>
  <c r="CV71" i="3"/>
  <c r="CV72" i="3"/>
  <c r="CV73" i="3"/>
  <c r="CV74" i="3"/>
  <c r="CV75" i="3"/>
  <c r="CV76" i="3"/>
  <c r="CV77" i="3"/>
  <c r="CV78" i="3"/>
  <c r="CV79" i="3"/>
  <c r="CV80" i="3"/>
  <c r="CV81" i="3"/>
  <c r="CV82" i="3"/>
  <c r="CV83" i="3"/>
  <c r="CV84" i="3"/>
  <c r="CV85" i="3"/>
  <c r="CV86" i="3"/>
  <c r="CV87" i="3"/>
  <c r="CV88" i="3"/>
  <c r="CV89" i="3"/>
  <c r="CV90" i="3"/>
  <c r="CV91" i="3"/>
  <c r="CV92" i="3"/>
  <c r="CV93" i="3"/>
  <c r="CV94" i="3"/>
  <c r="CV95" i="3"/>
  <c r="CV96" i="3"/>
  <c r="CV97" i="3"/>
  <c r="CV98" i="3"/>
  <c r="CV99" i="3"/>
  <c r="CV100" i="3"/>
  <c r="CV101" i="3"/>
  <c r="CV102" i="3"/>
  <c r="CV103" i="3"/>
  <c r="CV104" i="3"/>
  <c r="CV105" i="3"/>
  <c r="CV106" i="3"/>
  <c r="CV11" i="4"/>
  <c r="CV11" i="3"/>
  <c r="K84" i="6" l="1"/>
  <c r="K64" i="6"/>
  <c r="CI18" i="5"/>
  <c r="CI17" i="5"/>
  <c r="Q139" i="6" l="1"/>
  <c r="Q83" i="6"/>
  <c r="Q63" i="6"/>
  <c r="Q27" i="6"/>
  <c r="I139" i="6"/>
  <c r="I63" i="6"/>
  <c r="I27" i="6"/>
  <c r="I83" i="6"/>
  <c r="A9" i="4"/>
  <c r="CN19" i="5"/>
  <c r="A9" i="3"/>
  <c r="CN2" i="5"/>
  <c r="Q54" i="6"/>
  <c r="Q53" i="6"/>
  <c r="D20" i="5"/>
  <c r="D64" i="5" l="1"/>
  <c r="CL17" i="5"/>
  <c r="D3" i="5" s="1"/>
  <c r="C11" i="5"/>
  <c r="CL16" i="5" l="1"/>
  <c r="D4" i="5" s="1"/>
  <c r="C107" i="6"/>
  <c r="Q52" i="6"/>
  <c r="K37" i="6" l="1"/>
  <c r="C12" i="5" l="1"/>
  <c r="Q117" i="6" l="1"/>
  <c r="CB115" i="4"/>
  <c r="CB116" i="4" s="1"/>
  <c r="CB117" i="4" s="1"/>
  <c r="CB118" i="4" s="1"/>
  <c r="CB119" i="4" s="1"/>
  <c r="CB120" i="4" s="1"/>
  <c r="CB121" i="4" s="1"/>
  <c r="CB122" i="4" s="1"/>
  <c r="CB123" i="4" s="1"/>
  <c r="CB124" i="4" s="1"/>
  <c r="CB125" i="4" s="1"/>
  <c r="CB126" i="4" s="1"/>
  <c r="CB127" i="4" s="1"/>
  <c r="CB128" i="4" s="1"/>
  <c r="CB129" i="4" s="1"/>
  <c r="CB130" i="4" s="1"/>
  <c r="CB131" i="4" s="1"/>
  <c r="CB132" i="4" s="1"/>
  <c r="CB133" i="4" s="1"/>
  <c r="CB134" i="4" s="1"/>
  <c r="CB135" i="4" s="1"/>
  <c r="CB136" i="4" s="1"/>
  <c r="CB137" i="4" s="1"/>
  <c r="CB138" i="4" s="1"/>
  <c r="CB11" i="4"/>
  <c r="CB12" i="4" s="1"/>
  <c r="CB13" i="4" s="1"/>
  <c r="CB14" i="4" s="1"/>
  <c r="CB15" i="4" s="1"/>
  <c r="CB16" i="4" s="1"/>
  <c r="CB17" i="4" s="1"/>
  <c r="CB18" i="4" s="1"/>
  <c r="CB19" i="4" s="1"/>
  <c r="CB20" i="4" s="1"/>
  <c r="CB21" i="4" s="1"/>
  <c r="CB22" i="4" s="1"/>
  <c r="CB23" i="4" s="1"/>
  <c r="CB24" i="4" s="1"/>
  <c r="CB25" i="4" s="1"/>
  <c r="CB26" i="4" s="1"/>
  <c r="CB27" i="4" s="1"/>
  <c r="CB28" i="4" s="1"/>
  <c r="CB29" i="4" s="1"/>
  <c r="CB30" i="4" s="1"/>
  <c r="CB31" i="4" s="1"/>
  <c r="CB32" i="4" s="1"/>
  <c r="CB33" i="4" s="1"/>
  <c r="CB34" i="4" s="1"/>
  <c r="CB35" i="4" s="1"/>
  <c r="CB36" i="4" s="1"/>
  <c r="CB37" i="4" s="1"/>
  <c r="CB38" i="4" s="1"/>
  <c r="CB39" i="4" s="1"/>
  <c r="CB40" i="4" s="1"/>
  <c r="CB41" i="4" s="1"/>
  <c r="CB42" i="4" s="1"/>
  <c r="CB43" i="4" s="1"/>
  <c r="CB44" i="4" s="1"/>
  <c r="CB45" i="4" s="1"/>
  <c r="CB46" i="4" s="1"/>
  <c r="CB47" i="4" s="1"/>
  <c r="CB48" i="4" s="1"/>
  <c r="CB49" i="4" s="1"/>
  <c r="CB50" i="4" s="1"/>
  <c r="CB51" i="4" s="1"/>
  <c r="CB52" i="4" s="1"/>
  <c r="CB53" i="4" s="1"/>
  <c r="CB54" i="4" s="1"/>
  <c r="CB55" i="4" s="1"/>
  <c r="CB56" i="4" s="1"/>
  <c r="CB57" i="4" s="1"/>
  <c r="CB58" i="4" s="1"/>
  <c r="CB59" i="4" s="1"/>
  <c r="CB60" i="4" s="1"/>
  <c r="CB61" i="4" s="1"/>
  <c r="CB62" i="4" s="1"/>
  <c r="CB63" i="4" s="1"/>
  <c r="CB64" i="4" s="1"/>
  <c r="CB65" i="4" s="1"/>
  <c r="CB66" i="4" s="1"/>
  <c r="CB67" i="4" s="1"/>
  <c r="CB68" i="4" s="1"/>
  <c r="CB69" i="4" s="1"/>
  <c r="CB70" i="4" s="1"/>
  <c r="CB71" i="4" s="1"/>
  <c r="CB72" i="4" s="1"/>
  <c r="CB73" i="4" s="1"/>
  <c r="CB74" i="4" s="1"/>
  <c r="CB75" i="4" s="1"/>
  <c r="CB76" i="4" s="1"/>
  <c r="CB77" i="4" s="1"/>
  <c r="CB78" i="4" s="1"/>
  <c r="CB79" i="4" s="1"/>
  <c r="CB80" i="4" s="1"/>
  <c r="CB81" i="4" s="1"/>
  <c r="CB82" i="4" s="1"/>
  <c r="CB83" i="4" s="1"/>
  <c r="CB84" i="4" s="1"/>
  <c r="CB85" i="4" s="1"/>
  <c r="CB86" i="4" s="1"/>
  <c r="CB87" i="4" s="1"/>
  <c r="CB88" i="4" s="1"/>
  <c r="CB89" i="4" s="1"/>
  <c r="CB90" i="4" s="1"/>
  <c r="CB91" i="4" s="1"/>
  <c r="CB92" i="4" s="1"/>
  <c r="CB93" i="4" s="1"/>
  <c r="CB94" i="4" s="1"/>
  <c r="CB95" i="4" s="1"/>
  <c r="CB96" i="4" s="1"/>
  <c r="CB97" i="4" s="1"/>
  <c r="CB98" i="4" s="1"/>
  <c r="CB99" i="4" s="1"/>
  <c r="CB100" i="4" s="1"/>
  <c r="CB101" i="4" s="1"/>
  <c r="CB102" i="4" s="1"/>
  <c r="CB103" i="4" s="1"/>
  <c r="CB104" i="4" s="1"/>
  <c r="CB105" i="4" s="1"/>
  <c r="CB106" i="4" s="1"/>
  <c r="CB11" i="3"/>
  <c r="CB12" i="3" s="1"/>
  <c r="CB13" i="3" s="1"/>
  <c r="CB14" i="3" s="1"/>
  <c r="CB15" i="3" s="1"/>
  <c r="CB16" i="3" s="1"/>
  <c r="CB17" i="3" s="1"/>
  <c r="CB18" i="3" s="1"/>
  <c r="CB19" i="3" s="1"/>
  <c r="CB20" i="3" s="1"/>
  <c r="CB21" i="3" s="1"/>
  <c r="CB22" i="3" s="1"/>
  <c r="CB23" i="3" s="1"/>
  <c r="CB24" i="3" s="1"/>
  <c r="CB25" i="3" s="1"/>
  <c r="CB26" i="3" s="1"/>
  <c r="CB27" i="3" s="1"/>
  <c r="CB28" i="3" s="1"/>
  <c r="CB29" i="3" s="1"/>
  <c r="CB30" i="3" s="1"/>
  <c r="CB31" i="3" s="1"/>
  <c r="CB32" i="3" s="1"/>
  <c r="CB33" i="3" s="1"/>
  <c r="CB34" i="3" s="1"/>
  <c r="CB35" i="3" s="1"/>
  <c r="CB36" i="3" s="1"/>
  <c r="CB37" i="3" s="1"/>
  <c r="CB38" i="3" s="1"/>
  <c r="CB39" i="3" s="1"/>
  <c r="CB40" i="3" s="1"/>
  <c r="CB41" i="3" s="1"/>
  <c r="CB42" i="3" s="1"/>
  <c r="CB43" i="3" s="1"/>
  <c r="CB44" i="3" s="1"/>
  <c r="CB45" i="3" s="1"/>
  <c r="CB46" i="3" s="1"/>
  <c r="CB47" i="3" s="1"/>
  <c r="CB48" i="3" s="1"/>
  <c r="CB49" i="3" s="1"/>
  <c r="CB50" i="3" s="1"/>
  <c r="CB51" i="3" s="1"/>
  <c r="CB52" i="3" s="1"/>
  <c r="CB53" i="3" s="1"/>
  <c r="CB54" i="3" s="1"/>
  <c r="CB55" i="3" s="1"/>
  <c r="CB56" i="3" s="1"/>
  <c r="CB57" i="3" s="1"/>
  <c r="CB58" i="3" s="1"/>
  <c r="CB59" i="3" s="1"/>
  <c r="CB60" i="3" s="1"/>
  <c r="CB61" i="3" s="1"/>
  <c r="CB62" i="3" s="1"/>
  <c r="CB63" i="3" s="1"/>
  <c r="CB64" i="3" s="1"/>
  <c r="CB65" i="3" s="1"/>
  <c r="CB66" i="3" s="1"/>
  <c r="CB67" i="3" s="1"/>
  <c r="CB68" i="3" s="1"/>
  <c r="CB69" i="3" s="1"/>
  <c r="CB70" i="3" s="1"/>
  <c r="CB71" i="3" s="1"/>
  <c r="CB72" i="3" s="1"/>
  <c r="CB73" i="3" s="1"/>
  <c r="CB74" i="3" s="1"/>
  <c r="CB75" i="3" s="1"/>
  <c r="CB76" i="3" s="1"/>
  <c r="CB77" i="3" s="1"/>
  <c r="CB78" i="3" s="1"/>
  <c r="CB79" i="3" s="1"/>
  <c r="CB80" i="3" s="1"/>
  <c r="CB81" i="3" s="1"/>
  <c r="CB82" i="3" s="1"/>
  <c r="CB83" i="3" s="1"/>
  <c r="CB84" i="3" s="1"/>
  <c r="CB85" i="3" s="1"/>
  <c r="CB86" i="3" s="1"/>
  <c r="CB87" i="3" s="1"/>
  <c r="CB88" i="3" s="1"/>
  <c r="CB89" i="3" s="1"/>
  <c r="CB90" i="3" s="1"/>
  <c r="CB91" i="3" s="1"/>
  <c r="CB92" i="3" s="1"/>
  <c r="CB93" i="3" s="1"/>
  <c r="CB94" i="3" s="1"/>
  <c r="CB95" i="3" s="1"/>
  <c r="CB96" i="3" s="1"/>
  <c r="CB97" i="3" s="1"/>
  <c r="CB98" i="3" s="1"/>
  <c r="CB99" i="3" s="1"/>
  <c r="CB100" i="3" s="1"/>
  <c r="CB101" i="3" s="1"/>
  <c r="CB102" i="3" s="1"/>
  <c r="CB103" i="3" s="1"/>
  <c r="CB104" i="3" s="1"/>
  <c r="CB105" i="3" s="1"/>
  <c r="CB106" i="3" s="1"/>
  <c r="AP11" i="3" l="1"/>
  <c r="AL5" i="5"/>
  <c r="C122" i="6"/>
  <c r="AG23" i="5"/>
  <c r="AM11" i="5"/>
  <c r="AM10" i="5"/>
  <c r="AM9" i="5"/>
  <c r="AM8" i="5"/>
  <c r="AM7" i="5"/>
  <c r="AM6" i="5"/>
  <c r="AM5" i="5"/>
  <c r="AL11" i="5"/>
  <c r="AL10" i="5"/>
  <c r="AL9" i="5"/>
  <c r="AL8" i="5"/>
  <c r="AL7" i="5"/>
  <c r="AL6" i="5"/>
  <c r="AL16" i="5" l="1"/>
  <c r="AM16" i="5"/>
  <c r="AL13" i="5"/>
  <c r="AM13" i="5"/>
  <c r="CB115" i="3"/>
  <c r="CB116" i="3" s="1"/>
  <c r="CB117" i="3" s="1"/>
  <c r="CB118" i="3" s="1"/>
  <c r="CB119" i="3" s="1"/>
  <c r="CB120" i="3" s="1"/>
  <c r="CB121" i="3" s="1"/>
  <c r="CB122" i="3" s="1"/>
  <c r="CB123" i="3" s="1"/>
  <c r="CB124" i="3" s="1"/>
  <c r="CB125" i="3" s="1"/>
  <c r="CB126" i="3" s="1"/>
  <c r="CB127" i="3" s="1"/>
  <c r="CB128" i="3" s="1"/>
  <c r="CB129" i="3" s="1"/>
  <c r="CB130" i="3" s="1"/>
  <c r="CB131" i="3" s="1"/>
  <c r="CB132" i="3" s="1"/>
  <c r="CB133" i="3" s="1"/>
  <c r="CB134" i="3" s="1"/>
  <c r="CB135" i="3" s="1"/>
  <c r="CB136" i="3" s="1"/>
  <c r="CB137" i="3" s="1"/>
  <c r="CB138" i="3" s="1"/>
  <c r="AP11" i="4"/>
  <c r="BQ11" i="5"/>
  <c r="BQ10" i="5"/>
  <c r="BQ9" i="5"/>
  <c r="BQ8" i="5"/>
  <c r="BQ7" i="5"/>
  <c r="BQ6" i="5"/>
  <c r="BQ5" i="5"/>
  <c r="BP11" i="5"/>
  <c r="BP10" i="5"/>
  <c r="BP9" i="5"/>
  <c r="BP8" i="5"/>
  <c r="BP7" i="5"/>
  <c r="BP6" i="5"/>
  <c r="BL11" i="5"/>
  <c r="BK11" i="5"/>
  <c r="BL10" i="5"/>
  <c r="BK10" i="5"/>
  <c r="BL9" i="5"/>
  <c r="BK9" i="5"/>
  <c r="BL8" i="5"/>
  <c r="BK8" i="5"/>
  <c r="BL7" i="5"/>
  <c r="BK7" i="5"/>
  <c r="BL6" i="5"/>
  <c r="BK6" i="5"/>
  <c r="BL5" i="5"/>
  <c r="BK5" i="5"/>
  <c r="BP5" i="5"/>
  <c r="AY5" i="5"/>
  <c r="AZ5" i="5"/>
  <c r="AZ6" i="5"/>
  <c r="AZ7" i="5"/>
  <c r="AZ8" i="5"/>
  <c r="AZ9" i="5"/>
  <c r="AZ10" i="5"/>
  <c r="AZ11" i="5"/>
  <c r="AY11" i="5"/>
  <c r="AY10" i="5"/>
  <c r="AY9" i="5"/>
  <c r="AY8" i="5"/>
  <c r="AY7" i="5"/>
  <c r="AY6" i="5"/>
  <c r="BU17" i="5" l="1"/>
  <c r="BU19" i="5"/>
  <c r="BU21" i="5"/>
  <c r="BU16" i="5"/>
  <c r="BU18" i="5"/>
  <c r="BU20" i="5"/>
  <c r="BU22" i="5"/>
  <c r="AL17" i="5"/>
  <c r="AL14" i="5"/>
  <c r="BQ16" i="5"/>
  <c r="BP16" i="5"/>
  <c r="AZ16" i="5"/>
  <c r="AY16" i="5"/>
  <c r="CM141" i="4"/>
  <c r="D6" i="4" l="1"/>
  <c r="D6" i="3"/>
  <c r="AY17" i="5"/>
  <c r="E8" i="5" s="1"/>
  <c r="BP17" i="5"/>
  <c r="P50" i="6"/>
  <c r="O51" i="6"/>
  <c r="AH23" i="5"/>
  <c r="AH24" i="5"/>
  <c r="AH25" i="5"/>
  <c r="AH26" i="5"/>
  <c r="AH27" i="5"/>
  <c r="AH28" i="5"/>
  <c r="AH29" i="5"/>
  <c r="AG29" i="5"/>
  <c r="AG28" i="5"/>
  <c r="AG27" i="5"/>
  <c r="AG26" i="5"/>
  <c r="AG25" i="5"/>
  <c r="AG24" i="5"/>
  <c r="AU11" i="5"/>
  <c r="AU10" i="5"/>
  <c r="AU9" i="5"/>
  <c r="AU8" i="5"/>
  <c r="AU7" i="5"/>
  <c r="AU6" i="5"/>
  <c r="AU5" i="5"/>
  <c r="AT11" i="5"/>
  <c r="AT10" i="5"/>
  <c r="AT9" i="5"/>
  <c r="AT8" i="5"/>
  <c r="AT7" i="5"/>
  <c r="AT6" i="5"/>
  <c r="AT5" i="5"/>
  <c r="AH11" i="5"/>
  <c r="AH10" i="5"/>
  <c r="AH9" i="5"/>
  <c r="AH8" i="5"/>
  <c r="AH7" i="5"/>
  <c r="AH6" i="5"/>
  <c r="AH5" i="5"/>
  <c r="AG11" i="5"/>
  <c r="AG10" i="5"/>
  <c r="AG9" i="5"/>
  <c r="AG8" i="5"/>
  <c r="AG7" i="5"/>
  <c r="AG6" i="5"/>
  <c r="AG5" i="5"/>
  <c r="BV16" i="5" l="1"/>
  <c r="BV20" i="5"/>
  <c r="BV17" i="5"/>
  <c r="BV18" i="5"/>
  <c r="BV21" i="5"/>
  <c r="BV22" i="5"/>
  <c r="BV19" i="5"/>
  <c r="AG40" i="5"/>
  <c r="C206" i="6"/>
  <c r="CK7" i="5"/>
  <c r="CK11" i="5"/>
  <c r="CK6" i="5"/>
  <c r="CK10" i="5"/>
  <c r="CK5" i="5"/>
  <c r="CK9" i="5"/>
  <c r="CK8" i="5"/>
  <c r="AH38" i="5"/>
  <c r="AG39" i="5"/>
  <c r="AG42" i="5"/>
  <c r="AG30" i="5"/>
  <c r="AH30" i="5"/>
  <c r="AH36" i="5"/>
  <c r="AU16" i="5"/>
  <c r="Q31" i="6" s="1"/>
  <c r="AG38" i="5"/>
  <c r="AH39" i="5"/>
  <c r="AG36" i="5"/>
  <c r="AH42" i="5"/>
  <c r="AT16" i="5"/>
  <c r="I31" i="6" s="1"/>
  <c r="AG41" i="5"/>
  <c r="AG37" i="5"/>
  <c r="AH40" i="5"/>
  <c r="AH41" i="5"/>
  <c r="AH37" i="5"/>
  <c r="AD5" i="5"/>
  <c r="L9" i="4"/>
  <c r="L9" i="3"/>
  <c r="K9" i="4"/>
  <c r="K9" i="3"/>
  <c r="J9" i="4"/>
  <c r="J9" i="3"/>
  <c r="I9" i="4"/>
  <c r="I9" i="3"/>
  <c r="H9" i="4"/>
  <c r="H9" i="3"/>
  <c r="G9" i="4"/>
  <c r="G9" i="3"/>
  <c r="F9" i="4"/>
  <c r="F9" i="3"/>
  <c r="E9" i="4"/>
  <c r="E9" i="3"/>
  <c r="D9" i="4"/>
  <c r="D9" i="3"/>
  <c r="C9" i="4"/>
  <c r="C9" i="3"/>
  <c r="CY108" i="4" l="1"/>
  <c r="CY108" i="3"/>
  <c r="BD5" i="5"/>
  <c r="CL5" i="5"/>
  <c r="AD6" i="5"/>
  <c r="AE23" i="5"/>
  <c r="AE36" i="5" s="1"/>
  <c r="AG31" i="5"/>
  <c r="AT17" i="5"/>
  <c r="I17" i="6" s="1"/>
  <c r="AE5" i="5"/>
  <c r="BK16" i="5"/>
  <c r="I32" i="6" s="1"/>
  <c r="BL16" i="5"/>
  <c r="Q32" i="6" s="1"/>
  <c r="AH16" i="5"/>
  <c r="Q30" i="6" s="1"/>
  <c r="AG16" i="5"/>
  <c r="AH13" i="5"/>
  <c r="AG13" i="5"/>
  <c r="CY109" i="3" l="1"/>
  <c r="CY109" i="4"/>
  <c r="I29" i="6"/>
  <c r="Q29" i="6"/>
  <c r="AE6" i="5"/>
  <c r="AO6" i="5" s="1"/>
  <c r="BD6" i="5"/>
  <c r="CL6" i="5"/>
  <c r="AN5" i="5"/>
  <c r="AO5" i="5"/>
  <c r="BS5" i="5"/>
  <c r="BR5" i="5"/>
  <c r="BN5" i="5"/>
  <c r="BB5" i="5"/>
  <c r="BA5" i="5"/>
  <c r="AG43" i="5"/>
  <c r="I33" i="6" s="1"/>
  <c r="AD7" i="5"/>
  <c r="AE24" i="5"/>
  <c r="AE37" i="5" s="1"/>
  <c r="AH43" i="5"/>
  <c r="Q33" i="6" s="1"/>
  <c r="I30" i="6"/>
  <c r="AW5" i="5"/>
  <c r="AJ36" i="5"/>
  <c r="AJ23" i="5"/>
  <c r="AJ5" i="5"/>
  <c r="AI23" i="5"/>
  <c r="AV5" i="5"/>
  <c r="AI5" i="5"/>
  <c r="AI36" i="5"/>
  <c r="BM5" i="5"/>
  <c r="AG17" i="5"/>
  <c r="AG14" i="5"/>
  <c r="BK17" i="5"/>
  <c r="I18" i="6" s="1"/>
  <c r="AZ106" i="3"/>
  <c r="AZ106" i="4"/>
  <c r="I16" i="6" l="1"/>
  <c r="AC9" i="5"/>
  <c r="AC5" i="5"/>
  <c r="AC8" i="5"/>
  <c r="AC11" i="5"/>
  <c r="AC7" i="5"/>
  <c r="AC10" i="5"/>
  <c r="AC6" i="5"/>
  <c r="CY110" i="3"/>
  <c r="CY110" i="4"/>
  <c r="AJ37" i="5"/>
  <c r="AI24" i="5"/>
  <c r="BM6" i="5"/>
  <c r="AW6" i="5"/>
  <c r="AI37" i="5"/>
  <c r="AJ24" i="5"/>
  <c r="BN6" i="5"/>
  <c r="AJ6" i="5"/>
  <c r="AI6" i="5"/>
  <c r="BS6" i="5"/>
  <c r="AV6" i="5"/>
  <c r="BB6" i="5"/>
  <c r="AN6" i="5"/>
  <c r="BA6" i="5"/>
  <c r="BR6" i="5"/>
  <c r="BD7" i="5"/>
  <c r="CL7" i="5"/>
  <c r="I15" i="6"/>
  <c r="AD8" i="5"/>
  <c r="AE25" i="5"/>
  <c r="AE38" i="5" s="1"/>
  <c r="AE7" i="5"/>
  <c r="AG44" i="5"/>
  <c r="AC13" i="5" l="1"/>
  <c r="CY111" i="4"/>
  <c r="CY111" i="3"/>
  <c r="D61" i="5"/>
  <c r="BD8" i="5"/>
  <c r="CL8" i="5"/>
  <c r="AO7" i="5"/>
  <c r="AN7" i="5"/>
  <c r="BS7" i="5"/>
  <c r="BR7" i="5"/>
  <c r="BB7" i="5"/>
  <c r="BA7" i="5"/>
  <c r="AJ25" i="5"/>
  <c r="AI25" i="5"/>
  <c r="AJ7" i="5"/>
  <c r="AI38" i="5"/>
  <c r="AV7" i="5"/>
  <c r="BN7" i="5"/>
  <c r="AW7" i="5"/>
  <c r="AI7" i="5"/>
  <c r="AJ38" i="5"/>
  <c r="BM7" i="5"/>
  <c r="AE8" i="5"/>
  <c r="AD9" i="5"/>
  <c r="AE26" i="5"/>
  <c r="AE39" i="5" s="1"/>
  <c r="AT97" i="4"/>
  <c r="AS94" i="4"/>
  <c r="AW90" i="4"/>
  <c r="AW86" i="4"/>
  <c r="AU84" i="4"/>
  <c r="AV83" i="4"/>
  <c r="AU80" i="4"/>
  <c r="AS78" i="4"/>
  <c r="AT77" i="4"/>
  <c r="AW74" i="4"/>
  <c r="AS74" i="4"/>
  <c r="AT73" i="4"/>
  <c r="AU72" i="4"/>
  <c r="AV71" i="4"/>
  <c r="AW70" i="4"/>
  <c r="AS70" i="4"/>
  <c r="AT69" i="4"/>
  <c r="AU68" i="4"/>
  <c r="AV67" i="4"/>
  <c r="AW66" i="4"/>
  <c r="AS66" i="4"/>
  <c r="AT65" i="4"/>
  <c r="AU64" i="4"/>
  <c r="AV63" i="4"/>
  <c r="AW62" i="4"/>
  <c r="AS62" i="4"/>
  <c r="AT61" i="4"/>
  <c r="AU60" i="4"/>
  <c r="AV59" i="4"/>
  <c r="AW58" i="4"/>
  <c r="AS58" i="4"/>
  <c r="AT57" i="4"/>
  <c r="AU56" i="4"/>
  <c r="AV55" i="4"/>
  <c r="AW54" i="4"/>
  <c r="AS54" i="4"/>
  <c r="AT53" i="4"/>
  <c r="AU52" i="4"/>
  <c r="AV51" i="4"/>
  <c r="AW50" i="4"/>
  <c r="AS50" i="4"/>
  <c r="AT49" i="4"/>
  <c r="AU48" i="4"/>
  <c r="AV47" i="4"/>
  <c r="AW46" i="4"/>
  <c r="AS46" i="4"/>
  <c r="AT45" i="4"/>
  <c r="AU44" i="4"/>
  <c r="AV43" i="4"/>
  <c r="AW42" i="4"/>
  <c r="AS42" i="4"/>
  <c r="AT41" i="4"/>
  <c r="AU40" i="4"/>
  <c r="AV39" i="4"/>
  <c r="AV106" i="4"/>
  <c r="AV105" i="4"/>
  <c r="AV104" i="4"/>
  <c r="AU103" i="4"/>
  <c r="AU102" i="4"/>
  <c r="AU101" i="4"/>
  <c r="AT100" i="4"/>
  <c r="AT99" i="4"/>
  <c r="AT98" i="4"/>
  <c r="AS97" i="4"/>
  <c r="AS96" i="4"/>
  <c r="AS95" i="4"/>
  <c r="AW93" i="4"/>
  <c r="AW92" i="4"/>
  <c r="AW91" i="4"/>
  <c r="AV90" i="4"/>
  <c r="AV89" i="4"/>
  <c r="AV88" i="4"/>
  <c r="AU87" i="4"/>
  <c r="AU86" i="4"/>
  <c r="AU85" i="4"/>
  <c r="AT84" i="4"/>
  <c r="AT83" i="4"/>
  <c r="AT82" i="4"/>
  <c r="AS81" i="4"/>
  <c r="AS80" i="4"/>
  <c r="AS79" i="4"/>
  <c r="AW77" i="4"/>
  <c r="AW76" i="4"/>
  <c r="AW75" i="4"/>
  <c r="AV74" i="4"/>
  <c r="AV73" i="4"/>
  <c r="AV72" i="4"/>
  <c r="AU71" i="4"/>
  <c r="AU70" i="4"/>
  <c r="AU69" i="4"/>
  <c r="AT68" i="4"/>
  <c r="AT67" i="4"/>
  <c r="AT66" i="4"/>
  <c r="AS65" i="4"/>
  <c r="AS64" i="4"/>
  <c r="AS63" i="4"/>
  <c r="AW61" i="4"/>
  <c r="AW60" i="4"/>
  <c r="AW59" i="4"/>
  <c r="AV58" i="4"/>
  <c r="AV57" i="4"/>
  <c r="AV56" i="4"/>
  <c r="AU55" i="4"/>
  <c r="AU54" i="4"/>
  <c r="AU53" i="4"/>
  <c r="AT52" i="4"/>
  <c r="AT51" i="4"/>
  <c r="AT50" i="4"/>
  <c r="AS49" i="4"/>
  <c r="AS48" i="4"/>
  <c r="AS47" i="4"/>
  <c r="AW45" i="4"/>
  <c r="AW44" i="4"/>
  <c r="AW43" i="4"/>
  <c r="AV42" i="4"/>
  <c r="AV41" i="4"/>
  <c r="AV40" i="4"/>
  <c r="AU39" i="4"/>
  <c r="AV38" i="4"/>
  <c r="AW37" i="4"/>
  <c r="AS37" i="4"/>
  <c r="AT36" i="4"/>
  <c r="AU35" i="4"/>
  <c r="AV34" i="4"/>
  <c r="AW33" i="4"/>
  <c r="AS33" i="4"/>
  <c r="AT32" i="4"/>
  <c r="AU31" i="4"/>
  <c r="AV30" i="4"/>
  <c r="AW29" i="4"/>
  <c r="AS29" i="4"/>
  <c r="AT28" i="4"/>
  <c r="AU27" i="4"/>
  <c r="AV26" i="4"/>
  <c r="AW25" i="4"/>
  <c r="AS25" i="4"/>
  <c r="AT24" i="4"/>
  <c r="AU23" i="4"/>
  <c r="AV22" i="4"/>
  <c r="AW21" i="4"/>
  <c r="AS21" i="4"/>
  <c r="AT20" i="4"/>
  <c r="AU19" i="4"/>
  <c r="AV18" i="4"/>
  <c r="AW17" i="4"/>
  <c r="AS17" i="4"/>
  <c r="AT16" i="4"/>
  <c r="AU15" i="4"/>
  <c r="AV14" i="4"/>
  <c r="AW13" i="4"/>
  <c r="AS13" i="4"/>
  <c r="AT12" i="4"/>
  <c r="AU11" i="4"/>
  <c r="AV106" i="3"/>
  <c r="AW105" i="3"/>
  <c r="AS105" i="3"/>
  <c r="AT104" i="3"/>
  <c r="AU103" i="3"/>
  <c r="AV102" i="3"/>
  <c r="AW101" i="3"/>
  <c r="AS101" i="3"/>
  <c r="AT100" i="3"/>
  <c r="AU99" i="3"/>
  <c r="AV98" i="3"/>
  <c r="AW97" i="3"/>
  <c r="AS97" i="3"/>
  <c r="AT96" i="3"/>
  <c r="AU95" i="3"/>
  <c r="AV94" i="3"/>
  <c r="AW93" i="3"/>
  <c r="AS93" i="3"/>
  <c r="AT92" i="3"/>
  <c r="AU91" i="3"/>
  <c r="AV90" i="3"/>
  <c r="AW89" i="3"/>
  <c r="AS89" i="3"/>
  <c r="AT88" i="3"/>
  <c r="AU87" i="3"/>
  <c r="AV86" i="3"/>
  <c r="AW85" i="3"/>
  <c r="AS85" i="3"/>
  <c r="AT84" i="3"/>
  <c r="AU83" i="3"/>
  <c r="AV82" i="3"/>
  <c r="AW81" i="3"/>
  <c r="AS81" i="3"/>
  <c r="AT80" i="3"/>
  <c r="AU79" i="3"/>
  <c r="AV78" i="3"/>
  <c r="AW77" i="3"/>
  <c r="AS77" i="3"/>
  <c r="AT76" i="3"/>
  <c r="AU75" i="3"/>
  <c r="AV74" i="3"/>
  <c r="AW73" i="3"/>
  <c r="AS73" i="3"/>
  <c r="AT72" i="3"/>
  <c r="AU71" i="3"/>
  <c r="AV70" i="3"/>
  <c r="AW69" i="3"/>
  <c r="AS69" i="3"/>
  <c r="AT68" i="3"/>
  <c r="AU67" i="3"/>
  <c r="AV66" i="3"/>
  <c r="AW65" i="3"/>
  <c r="AS65" i="3"/>
  <c r="AT64" i="3"/>
  <c r="AU63" i="3"/>
  <c r="AV62" i="3"/>
  <c r="AW61" i="3"/>
  <c r="AS61" i="3"/>
  <c r="AT60" i="3"/>
  <c r="AU59" i="3"/>
  <c r="AV58" i="3"/>
  <c r="AW57" i="3"/>
  <c r="AS57" i="3"/>
  <c r="AT56" i="3"/>
  <c r="AU55" i="3"/>
  <c r="AV54" i="3"/>
  <c r="AW53" i="3"/>
  <c r="AS53" i="3"/>
  <c r="AT52" i="3"/>
  <c r="AU51" i="3"/>
  <c r="AV50" i="3"/>
  <c r="AW105" i="4"/>
  <c r="AT104" i="4"/>
  <c r="AS103" i="4"/>
  <c r="AV101" i="4"/>
  <c r="AS100" i="4"/>
  <c r="AV98" i="4"/>
  <c r="AU97" i="4"/>
  <c r="AW95" i="4"/>
  <c r="AU94" i="4"/>
  <c r="AS93" i="4"/>
  <c r="AU91" i="4"/>
  <c r="AT90" i="4"/>
  <c r="AW88" i="4"/>
  <c r="AT87" i="4"/>
  <c r="AW85" i="4"/>
  <c r="AV84" i="4"/>
  <c r="AS83" i="4"/>
  <c r="AV81" i="4"/>
  <c r="AT80" i="4"/>
  <c r="AV78" i="4"/>
  <c r="AU77" i="4"/>
  <c r="AS76" i="4"/>
  <c r="AU74" i="4"/>
  <c r="AS73" i="4"/>
  <c r="AW71" i="4"/>
  <c r="AT70" i="4"/>
  <c r="AW68" i="4"/>
  <c r="AU67" i="4"/>
  <c r="AW65" i="4"/>
  <c r="AV64" i="4"/>
  <c r="AT63" i="4"/>
  <c r="AV61" i="4"/>
  <c r="AT60" i="4"/>
  <c r="AS59" i="4"/>
  <c r="AU57" i="4"/>
  <c r="AS56" i="4"/>
  <c r="AV54" i="4"/>
  <c r="AS53" i="4"/>
  <c r="AW51" i="4"/>
  <c r="AU50" i="4"/>
  <c r="AW48" i="4"/>
  <c r="AU47" i="4"/>
  <c r="AT46" i="4"/>
  <c r="AV44" i="4"/>
  <c r="AT43" i="4"/>
  <c r="AW41" i="4"/>
  <c r="AT40" i="4"/>
  <c r="AS39" i="4"/>
  <c r="AS38" i="4"/>
  <c r="AW36" i="4"/>
  <c r="AW35" i="4"/>
  <c r="AW34" i="4"/>
  <c r="AV33" i="4"/>
  <c r="AV32" i="4"/>
  <c r="AV31" i="4"/>
  <c r="AU30" i="4"/>
  <c r="AU29" i="4"/>
  <c r="AU28" i="4"/>
  <c r="AT27" i="4"/>
  <c r="AT26" i="4"/>
  <c r="AT25" i="4"/>
  <c r="AS24" i="4"/>
  <c r="AS23" i="4"/>
  <c r="AS22" i="4"/>
  <c r="AW20" i="4"/>
  <c r="AW19" i="4"/>
  <c r="AW18" i="4"/>
  <c r="AV17" i="4"/>
  <c r="AV16" i="4"/>
  <c r="AV15" i="4"/>
  <c r="AU14" i="4"/>
  <c r="AU13" i="4"/>
  <c r="AU12" i="4"/>
  <c r="AT11" i="4"/>
  <c r="AT106" i="3"/>
  <c r="AT105" i="3"/>
  <c r="AS104" i="3"/>
  <c r="AS103" i="3"/>
  <c r="AS102" i="3"/>
  <c r="AW100" i="3"/>
  <c r="AW99" i="3"/>
  <c r="AW98" i="3"/>
  <c r="AV97" i="3"/>
  <c r="AV96" i="3"/>
  <c r="AV95" i="3"/>
  <c r="AS105" i="4"/>
  <c r="AT103" i="4"/>
  <c r="AS101" i="4"/>
  <c r="AU99" i="4"/>
  <c r="AV97" i="4"/>
  <c r="AU95" i="4"/>
  <c r="AV93" i="4"/>
  <c r="AS92" i="4"/>
  <c r="AW89" i="4"/>
  <c r="AS88" i="4"/>
  <c r="AT86" i="4"/>
  <c r="AS84" i="4"/>
  <c r="AU82" i="4"/>
  <c r="AV80" i="4"/>
  <c r="AU78" i="4"/>
  <c r="AV76" i="4"/>
  <c r="AS75" i="4"/>
  <c r="AW72" i="4"/>
  <c r="AS71" i="4"/>
  <c r="AS69" i="4"/>
  <c r="AS67" i="4"/>
  <c r="AU65" i="4"/>
  <c r="AU63" i="4"/>
  <c r="AU61" i="4"/>
  <c r="AU59" i="4"/>
  <c r="AW57" i="4"/>
  <c r="AW55" i="4"/>
  <c r="AW53" i="4"/>
  <c r="AS52" i="4"/>
  <c r="AW49" i="4"/>
  <c r="AT48" i="4"/>
  <c r="AU46" i="4"/>
  <c r="AT44" i="4"/>
  <c r="AU42" i="4"/>
  <c r="AW40" i="4"/>
  <c r="AW38" i="4"/>
  <c r="AU37" i="4"/>
  <c r="AS36" i="4"/>
  <c r="AU34" i="4"/>
  <c r="AT33" i="4"/>
  <c r="AW31" i="4"/>
  <c r="AT30" i="4"/>
  <c r="AW28" i="4"/>
  <c r="AV27" i="4"/>
  <c r="AS26" i="4"/>
  <c r="AV24" i="4"/>
  <c r="AT23" i="4"/>
  <c r="AV21" i="4"/>
  <c r="AU20" i="4"/>
  <c r="AS19" i="4"/>
  <c r="AU17" i="4"/>
  <c r="AS16" i="4"/>
  <c r="AW14" i="4"/>
  <c r="AT13" i="4"/>
  <c r="AW11" i="4"/>
  <c r="AU106" i="3"/>
  <c r="AW104" i="3"/>
  <c r="AV103" i="3"/>
  <c r="AT102" i="3"/>
  <c r="AV100" i="3"/>
  <c r="AT99" i="3"/>
  <c r="AS98" i="3"/>
  <c r="AU96" i="3"/>
  <c r="AS95" i="3"/>
  <c r="AS94" i="3"/>
  <c r="AW92" i="3"/>
  <c r="AW91" i="3"/>
  <c r="AW90" i="3"/>
  <c r="AV89" i="3"/>
  <c r="AV88" i="3"/>
  <c r="AV87" i="3"/>
  <c r="AU86" i="3"/>
  <c r="AU85" i="3"/>
  <c r="AU84" i="3"/>
  <c r="AT83" i="3"/>
  <c r="AT82" i="3"/>
  <c r="AT81" i="3"/>
  <c r="AS80" i="3"/>
  <c r="AS79" i="3"/>
  <c r="AS78" i="3"/>
  <c r="AW76" i="3"/>
  <c r="AW75" i="3"/>
  <c r="AW74" i="3"/>
  <c r="AV73" i="3"/>
  <c r="AV72" i="3"/>
  <c r="AU106" i="4"/>
  <c r="AS104" i="4"/>
  <c r="AW101" i="4"/>
  <c r="AS99" i="4"/>
  <c r="AV96" i="4"/>
  <c r="AT94" i="4"/>
  <c r="AT91" i="4"/>
  <c r="AS89" i="4"/>
  <c r="AV86" i="4"/>
  <c r="AW83" i="4"/>
  <c r="AU81" i="4"/>
  <c r="AT79" i="4"/>
  <c r="AT76" i="4"/>
  <c r="AW73" i="4"/>
  <c r="AT71" i="4"/>
  <c r="AV68" i="4"/>
  <c r="AU66" i="4"/>
  <c r="AW63" i="4"/>
  <c r="AS61" i="4"/>
  <c r="AU58" i="4"/>
  <c r="AT56" i="4"/>
  <c r="AV53" i="4"/>
  <c r="AS51" i="4"/>
  <c r="AV48" i="4"/>
  <c r="AV45" i="4"/>
  <c r="AU43" i="4"/>
  <c r="AS41" i="4"/>
  <c r="AU38" i="4"/>
  <c r="AV36" i="4"/>
  <c r="AS35" i="4"/>
  <c r="AW32" i="4"/>
  <c r="AS31" i="4"/>
  <c r="AT29" i="4"/>
  <c r="AS27" i="4"/>
  <c r="AU25" i="4"/>
  <c r="AV23" i="4"/>
  <c r="AU21" i="4"/>
  <c r="AV19" i="4"/>
  <c r="AS18" i="4"/>
  <c r="AW15" i="4"/>
  <c r="AS14" i="4"/>
  <c r="AS12" i="4"/>
  <c r="AS106" i="3"/>
  <c r="AU104" i="3"/>
  <c r="AU102" i="3"/>
  <c r="AU100" i="3"/>
  <c r="AU98" i="3"/>
  <c r="AW96" i="3"/>
  <c r="AW94" i="3"/>
  <c r="AU93" i="3"/>
  <c r="AS92" i="3"/>
  <c r="AU90" i="3"/>
  <c r="AT89" i="3"/>
  <c r="AW87" i="3"/>
  <c r="AT86" i="3"/>
  <c r="AW84" i="3"/>
  <c r="AV83" i="3"/>
  <c r="AS82" i="3"/>
  <c r="AV80" i="3"/>
  <c r="AT79" i="3"/>
  <c r="AV77" i="3"/>
  <c r="AU76" i="3"/>
  <c r="AS75" i="3"/>
  <c r="AU73" i="3"/>
  <c r="AS72" i="3"/>
  <c r="AS71" i="3"/>
  <c r="AS70" i="3"/>
  <c r="AW68" i="3"/>
  <c r="AW67" i="3"/>
  <c r="AW66" i="3"/>
  <c r="AV65" i="3"/>
  <c r="AV64" i="3"/>
  <c r="AV63" i="3"/>
  <c r="AU62" i="3"/>
  <c r="AU61" i="3"/>
  <c r="AU60" i="3"/>
  <c r="AT59" i="3"/>
  <c r="AT58" i="3"/>
  <c r="AT57" i="3"/>
  <c r="AS56" i="3"/>
  <c r="AS55" i="3"/>
  <c r="AS54" i="3"/>
  <c r="AW52" i="3"/>
  <c r="AW51" i="3"/>
  <c r="AW50" i="3"/>
  <c r="AW49" i="3"/>
  <c r="AS49" i="3"/>
  <c r="AT48" i="3"/>
  <c r="AU47" i="3"/>
  <c r="AV46" i="3"/>
  <c r="AW45" i="3"/>
  <c r="AS45" i="3"/>
  <c r="AT44" i="3"/>
  <c r="AU43" i="3"/>
  <c r="AV42" i="3"/>
  <c r="AW41" i="3"/>
  <c r="AS41" i="3"/>
  <c r="AT40" i="3"/>
  <c r="AU39" i="3"/>
  <c r="AV38" i="3"/>
  <c r="AW37" i="3"/>
  <c r="AS37" i="3"/>
  <c r="AT36" i="3"/>
  <c r="AU35" i="3"/>
  <c r="AV34" i="3"/>
  <c r="AW33" i="3"/>
  <c r="AS33" i="3"/>
  <c r="AT32" i="3"/>
  <c r="AU31" i="3"/>
  <c r="AV30" i="3"/>
  <c r="AW29" i="3"/>
  <c r="AS29" i="3"/>
  <c r="AT28" i="3"/>
  <c r="AU27" i="3"/>
  <c r="AV26" i="3"/>
  <c r="AW25" i="3"/>
  <c r="AS25" i="3"/>
  <c r="AT24" i="3"/>
  <c r="AU23" i="3"/>
  <c r="AV22" i="3"/>
  <c r="AW21" i="3"/>
  <c r="AS21" i="3"/>
  <c r="AT20" i="3"/>
  <c r="AU19" i="3"/>
  <c r="AV18" i="3"/>
  <c r="AW17" i="3"/>
  <c r="AS17" i="3"/>
  <c r="AT16" i="3"/>
  <c r="AU15" i="3"/>
  <c r="AV14" i="3"/>
  <c r="AW13" i="3"/>
  <c r="AS13" i="3"/>
  <c r="AT12" i="3"/>
  <c r="AU11" i="3"/>
  <c r="AT106" i="4"/>
  <c r="AW103" i="4"/>
  <c r="AW100" i="4"/>
  <c r="AU98" i="4"/>
  <c r="AT96" i="4"/>
  <c r="AU93" i="4"/>
  <c r="AS91" i="4"/>
  <c r="AT88" i="4"/>
  <c r="AV85" i="4"/>
  <c r="AU83" i="4"/>
  <c r="AW80" i="4"/>
  <c r="AT78" i="4"/>
  <c r="AU75" i="4"/>
  <c r="AU73" i="4"/>
  <c r="AV70" i="4"/>
  <c r="AS68" i="4"/>
  <c r="AV65" i="4"/>
  <c r="AV62" i="4"/>
  <c r="AV60" i="4"/>
  <c r="AT58" i="4"/>
  <c r="AT55" i="4"/>
  <c r="AW52" i="4"/>
  <c r="AV50" i="4"/>
  <c r="AW47" i="4"/>
  <c r="AU45" i="4"/>
  <c r="AS43" i="4"/>
  <c r="AS40" i="4"/>
  <c r="AT38" i="4"/>
  <c r="AU36" i="4"/>
  <c r="AT34" i="4"/>
  <c r="AU32" i="4"/>
  <c r="AW30" i="4"/>
  <c r="AV28" i="4"/>
  <c r="AW26" i="4"/>
  <c r="AW24" i="4"/>
  <c r="AW22" i="4"/>
  <c r="AT21" i="4"/>
  <c r="AT19" i="4"/>
  <c r="AT17" i="4"/>
  <c r="AT15" i="4"/>
  <c r="AV13" i="4"/>
  <c r="AV11" i="4"/>
  <c r="AV105" i="3"/>
  <c r="AW103" i="3"/>
  <c r="AV101" i="3"/>
  <c r="AS100" i="3"/>
  <c r="AT98" i="3"/>
  <c r="AS96" i="3"/>
  <c r="AU94" i="3"/>
  <c r="AT93" i="3"/>
  <c r="AV91" i="3"/>
  <c r="AT90" i="3"/>
  <c r="AW88" i="3"/>
  <c r="AT87" i="3"/>
  <c r="AS86" i="3"/>
  <c r="AV84" i="3"/>
  <c r="AS83" i="3"/>
  <c r="AV81" i="3"/>
  <c r="AU80" i="3"/>
  <c r="AW78" i="3"/>
  <c r="AU77" i="3"/>
  <c r="AS76" i="3"/>
  <c r="AU74" i="3"/>
  <c r="AT73" i="3"/>
  <c r="AW71" i="3"/>
  <c r="AW70" i="3"/>
  <c r="AV69" i="3"/>
  <c r="AV68" i="3"/>
  <c r="AV67" i="3"/>
  <c r="AU66" i="3"/>
  <c r="AU65" i="3"/>
  <c r="AU64" i="3"/>
  <c r="AT63" i="3"/>
  <c r="AT62" i="3"/>
  <c r="AT61" i="3"/>
  <c r="AS60" i="3"/>
  <c r="AS59" i="3"/>
  <c r="AS58" i="3"/>
  <c r="AW56" i="3"/>
  <c r="AW55" i="3"/>
  <c r="AW54" i="3"/>
  <c r="AV53" i="3"/>
  <c r="AV52" i="3"/>
  <c r="AV51" i="3"/>
  <c r="AU50" i="3"/>
  <c r="AV49" i="3"/>
  <c r="AW48" i="3"/>
  <c r="AS48" i="3"/>
  <c r="AT47" i="3"/>
  <c r="AU46" i="3"/>
  <c r="AV45" i="3"/>
  <c r="AW44" i="3"/>
  <c r="AS44" i="3"/>
  <c r="AT43" i="3"/>
  <c r="AU42" i="3"/>
  <c r="AV41" i="3"/>
  <c r="AW40" i="3"/>
  <c r="AS40" i="3"/>
  <c r="AT39" i="3"/>
  <c r="AU38" i="3"/>
  <c r="AV37" i="3"/>
  <c r="AW36" i="3"/>
  <c r="AS36" i="3"/>
  <c r="AT35" i="3"/>
  <c r="AU34" i="3"/>
  <c r="AV33" i="3"/>
  <c r="AW32" i="3"/>
  <c r="AS32" i="3"/>
  <c r="AT31" i="3"/>
  <c r="AU30" i="3"/>
  <c r="AV29" i="3"/>
  <c r="AW28" i="3"/>
  <c r="AS28" i="3"/>
  <c r="AT27" i="3"/>
  <c r="AU26" i="3"/>
  <c r="AV25" i="3"/>
  <c r="AW24" i="3"/>
  <c r="AS24" i="3"/>
  <c r="AT23" i="3"/>
  <c r="AU22" i="3"/>
  <c r="AV21" i="3"/>
  <c r="AW20" i="3"/>
  <c r="AS20" i="3"/>
  <c r="AT19" i="3"/>
  <c r="AU18" i="3"/>
  <c r="AV17" i="3"/>
  <c r="AW16" i="3"/>
  <c r="AS16" i="3"/>
  <c r="AT15" i="3"/>
  <c r="AU14" i="3"/>
  <c r="AV13" i="3"/>
  <c r="AW12" i="3"/>
  <c r="AS12" i="3"/>
  <c r="AT11" i="3"/>
  <c r="AU105" i="4"/>
  <c r="AV102" i="4"/>
  <c r="AV100" i="4"/>
  <c r="AW97" i="4"/>
  <c r="AT95" i="4"/>
  <c r="AV92" i="4"/>
  <c r="AU90" i="4"/>
  <c r="AW87" i="4"/>
  <c r="AS85" i="4"/>
  <c r="AV82" i="4"/>
  <c r="AW79" i="4"/>
  <c r="AV77" i="4"/>
  <c r="AT75" i="4"/>
  <c r="AT72" i="4"/>
  <c r="AW69" i="4"/>
  <c r="AW67" i="4"/>
  <c r="AW64" i="4"/>
  <c r="AU62" i="4"/>
  <c r="AS60" i="4"/>
  <c r="AS57" i="4"/>
  <c r="AS55" i="4"/>
  <c r="AV52" i="4"/>
  <c r="AV49" i="4"/>
  <c r="AT47" i="4"/>
  <c r="AS45" i="4"/>
  <c r="AT42" i="4"/>
  <c r="AW39" i="4"/>
  <c r="AV37" i="4"/>
  <c r="AV35" i="4"/>
  <c r="AS34" i="4"/>
  <c r="AS32" i="4"/>
  <c r="AS30" i="4"/>
  <c r="AS28" i="4"/>
  <c r="AU26" i="4"/>
  <c r="AU24" i="4"/>
  <c r="AU22" i="4"/>
  <c r="AV20" i="4"/>
  <c r="AU18" i="4"/>
  <c r="AW16" i="4"/>
  <c r="AS15" i="4"/>
  <c r="AW12" i="4"/>
  <c r="AU105" i="3"/>
  <c r="AT103" i="3"/>
  <c r="AU101" i="3"/>
  <c r="AV99" i="3"/>
  <c r="AU97" i="3"/>
  <c r="AW95" i="3"/>
  <c r="AT94" i="3"/>
  <c r="AV92" i="3"/>
  <c r="AT91" i="3"/>
  <c r="AS90" i="3"/>
  <c r="AU88" i="3"/>
  <c r="AS87" i="3"/>
  <c r="AV85" i="3"/>
  <c r="AS84" i="3"/>
  <c r="AW82" i="3"/>
  <c r="AU81" i="3"/>
  <c r="AW79" i="3"/>
  <c r="AU78" i="3"/>
  <c r="AT77" i="3"/>
  <c r="AV75" i="3"/>
  <c r="AT74" i="3"/>
  <c r="AW72" i="3"/>
  <c r="AV71" i="3"/>
  <c r="AU70" i="3"/>
  <c r="AU69" i="3"/>
  <c r="AU68" i="3"/>
  <c r="AT67" i="3"/>
  <c r="AT66" i="3"/>
  <c r="AT65" i="3"/>
  <c r="AS64" i="3"/>
  <c r="AS63" i="3"/>
  <c r="AW96" i="4"/>
  <c r="AS87" i="4"/>
  <c r="AS77" i="4"/>
  <c r="AV66" i="4"/>
  <c r="AW56" i="4"/>
  <c r="AV46" i="4"/>
  <c r="AT37" i="4"/>
  <c r="AV29" i="4"/>
  <c r="AT22" i="4"/>
  <c r="AT14" i="4"/>
  <c r="AW102" i="3"/>
  <c r="AT95" i="3"/>
  <c r="AU89" i="3"/>
  <c r="AW83" i="3"/>
  <c r="AT78" i="3"/>
  <c r="AU72" i="3"/>
  <c r="AS68" i="3"/>
  <c r="AW63" i="3"/>
  <c r="AW60" i="3"/>
  <c r="AW58" i="3"/>
  <c r="AV56" i="3"/>
  <c r="AU54" i="3"/>
  <c r="AU52" i="3"/>
  <c r="AT50" i="3"/>
  <c r="AV48" i="3"/>
  <c r="AS47" i="3"/>
  <c r="AU45" i="3"/>
  <c r="AW43" i="3"/>
  <c r="AT42" i="3"/>
  <c r="AV40" i="3"/>
  <c r="AS39" i="3"/>
  <c r="AU37" i="3"/>
  <c r="AW35" i="3"/>
  <c r="AT34" i="3"/>
  <c r="AV32" i="3"/>
  <c r="AS31" i="3"/>
  <c r="AU29" i="3"/>
  <c r="AW27" i="3"/>
  <c r="AT26" i="3"/>
  <c r="AV24" i="3"/>
  <c r="AS23" i="3"/>
  <c r="AU21" i="3"/>
  <c r="AW19" i="3"/>
  <c r="AT18" i="3"/>
  <c r="AV16" i="3"/>
  <c r="AS15" i="3"/>
  <c r="AU13" i="3"/>
  <c r="AW11" i="3"/>
  <c r="AW104" i="4"/>
  <c r="AV94" i="4"/>
  <c r="AW84" i="4"/>
  <c r="AT74" i="4"/>
  <c r="AT64" i="4"/>
  <c r="AT54" i="4"/>
  <c r="AS44" i="4"/>
  <c r="AT35" i="4"/>
  <c r="AW27" i="4"/>
  <c r="AS20" i="4"/>
  <c r="AV12" i="4"/>
  <c r="AT101" i="3"/>
  <c r="AV93" i="3"/>
  <c r="AS88" i="3"/>
  <c r="AU82" i="3"/>
  <c r="AV76" i="3"/>
  <c r="AT71" i="3"/>
  <c r="AS67" i="3"/>
  <c r="AW62" i="3"/>
  <c r="AV60" i="3"/>
  <c r="AU58" i="3"/>
  <c r="AU56" i="3"/>
  <c r="AT54" i="3"/>
  <c r="AS52" i="3"/>
  <c r="AS50" i="3"/>
  <c r="AU48" i="3"/>
  <c r="AW46" i="3"/>
  <c r="AT45" i="3"/>
  <c r="AV43" i="3"/>
  <c r="AS42" i="3"/>
  <c r="AU40" i="3"/>
  <c r="AW38" i="3"/>
  <c r="AT37" i="3"/>
  <c r="AV35" i="3"/>
  <c r="AS34" i="3"/>
  <c r="AU32" i="3"/>
  <c r="AW30" i="3"/>
  <c r="AT29" i="3"/>
  <c r="AV27" i="3"/>
  <c r="AS26" i="3"/>
  <c r="AU24" i="3"/>
  <c r="AW22" i="3"/>
  <c r="AT21" i="3"/>
  <c r="AV19" i="3"/>
  <c r="AS18" i="3"/>
  <c r="AU16" i="3"/>
  <c r="AW14" i="3"/>
  <c r="AT13" i="3"/>
  <c r="AV11" i="3"/>
  <c r="AT102" i="4"/>
  <c r="AT92" i="4"/>
  <c r="AW81" i="4"/>
  <c r="AS72" i="4"/>
  <c r="AT62" i="4"/>
  <c r="AU51" i="4"/>
  <c r="AU41" i="4"/>
  <c r="AU33" i="4"/>
  <c r="AV25" i="4"/>
  <c r="AT18" i="4"/>
  <c r="AW106" i="3"/>
  <c r="AS99" i="3"/>
  <c r="AU92" i="3"/>
  <c r="AW86" i="3"/>
  <c r="AW80" i="3"/>
  <c r="AT75" i="3"/>
  <c r="AT70" i="3"/>
  <c r="AS66" i="3"/>
  <c r="AS62" i="3"/>
  <c r="AW59" i="3"/>
  <c r="AV57" i="3"/>
  <c r="AV55" i="3"/>
  <c r="AU53" i="3"/>
  <c r="AT51" i="3"/>
  <c r="AU49" i="3"/>
  <c r="AW47" i="3"/>
  <c r="AT46" i="3"/>
  <c r="AV44" i="3"/>
  <c r="AS43" i="3"/>
  <c r="AU41" i="3"/>
  <c r="AW39" i="3"/>
  <c r="AT38" i="3"/>
  <c r="AV36" i="3"/>
  <c r="AS35" i="3"/>
  <c r="AU33" i="3"/>
  <c r="AW31" i="3"/>
  <c r="AT30" i="3"/>
  <c r="AV28" i="3"/>
  <c r="AS27" i="3"/>
  <c r="AU25" i="3"/>
  <c r="AW23" i="3"/>
  <c r="AT22" i="3"/>
  <c r="AV20" i="3"/>
  <c r="AS19" i="3"/>
  <c r="AU17" i="3"/>
  <c r="AW15" i="3"/>
  <c r="AT14" i="3"/>
  <c r="AV12" i="3"/>
  <c r="AW99" i="4"/>
  <c r="AU89" i="4"/>
  <c r="AU79" i="4"/>
  <c r="AV69" i="4"/>
  <c r="AT59" i="4"/>
  <c r="AU49" i="4"/>
  <c r="AT39" i="4"/>
  <c r="AT31" i="4"/>
  <c r="AW23" i="4"/>
  <c r="AU16" i="4"/>
  <c r="AV104" i="3"/>
  <c r="AT97" i="3"/>
  <c r="AS91" i="3"/>
  <c r="AT85" i="3"/>
  <c r="AV79" i="3"/>
  <c r="AS74" i="3"/>
  <c r="AT69" i="3"/>
  <c r="AW64" i="3"/>
  <c r="AV61" i="3"/>
  <c r="AV59" i="3"/>
  <c r="AU57" i="3"/>
  <c r="AT55" i="3"/>
  <c r="AT53" i="3"/>
  <c r="AS51" i="3"/>
  <c r="AT49" i="3"/>
  <c r="AW42" i="3"/>
  <c r="AU36" i="3"/>
  <c r="AS30" i="3"/>
  <c r="AV23" i="3"/>
  <c r="AT17" i="3"/>
  <c r="AV47" i="3"/>
  <c r="AT41" i="3"/>
  <c r="AW34" i="3"/>
  <c r="AU28" i="3"/>
  <c r="AS22" i="3"/>
  <c r="AV15" i="3"/>
  <c r="AS46" i="3"/>
  <c r="AV39" i="3"/>
  <c r="AT33" i="3"/>
  <c r="AW26" i="3"/>
  <c r="AU20" i="3"/>
  <c r="AS14" i="3"/>
  <c r="AU44" i="3"/>
  <c r="AS38" i="3"/>
  <c r="AV31" i="3"/>
  <c r="AT25" i="3"/>
  <c r="AW18" i="3"/>
  <c r="AU12" i="3"/>
  <c r="C18" i="6"/>
  <c r="D63" i="5"/>
  <c r="C17" i="6"/>
  <c r="AC9" i="3"/>
  <c r="AC9" i="4"/>
  <c r="AS11" i="4" l="1"/>
  <c r="O47" i="6"/>
  <c r="AT81" i="4"/>
  <c r="AV87" i="4"/>
  <c r="AU100" i="4"/>
  <c r="AS90" i="4"/>
  <c r="AU96" i="4"/>
  <c r="AW102" i="4"/>
  <c r="C16" i="6"/>
  <c r="AS11" i="3"/>
  <c r="AV103" i="4"/>
  <c r="K98" i="6"/>
  <c r="AT93" i="4"/>
  <c r="AV99" i="4"/>
  <c r="AS106" i="4"/>
  <c r="E6" i="5"/>
  <c r="AW106" i="4"/>
  <c r="G118" i="6"/>
  <c r="D108" i="6"/>
  <c r="K6" i="6"/>
  <c r="E8" i="6"/>
  <c r="AV75" i="4"/>
  <c r="AW78" i="4"/>
  <c r="AS82" i="4"/>
  <c r="AT85" i="4"/>
  <c r="AU88" i="4"/>
  <c r="AV91" i="4"/>
  <c r="AW94" i="4"/>
  <c r="AS98" i="4"/>
  <c r="AT101" i="4"/>
  <c r="AU104" i="4"/>
  <c r="K124" i="6"/>
  <c r="C98" i="6"/>
  <c r="AU76" i="4"/>
  <c r="AV79" i="4"/>
  <c r="AW82" i="4"/>
  <c r="AS86" i="4"/>
  <c r="AT89" i="4"/>
  <c r="AU92" i="4"/>
  <c r="AV95" i="4"/>
  <c r="AW98" i="4"/>
  <c r="AS102" i="4"/>
  <c r="AT105" i="4"/>
  <c r="CY112" i="4"/>
  <c r="CY112" i="3"/>
  <c r="BD9" i="5"/>
  <c r="CL9" i="5"/>
  <c r="AO8" i="5"/>
  <c r="AN8" i="5"/>
  <c r="BS8" i="5"/>
  <c r="BR8" i="5"/>
  <c r="BA8" i="5"/>
  <c r="BB8" i="5"/>
  <c r="AD10" i="5"/>
  <c r="AE27" i="5"/>
  <c r="AE40" i="5" s="1"/>
  <c r="AE9" i="5"/>
  <c r="AJ39" i="5"/>
  <c r="AJ8" i="5"/>
  <c r="AI26" i="5"/>
  <c r="BN8" i="5"/>
  <c r="AI39" i="5"/>
  <c r="AV8" i="5"/>
  <c r="AI8" i="5"/>
  <c r="AW8" i="5"/>
  <c r="AJ26" i="5"/>
  <c r="BM8" i="5"/>
  <c r="E205" i="6"/>
  <c r="CY113" i="3" l="1"/>
  <c r="CY113" i="4"/>
  <c r="BD10" i="5"/>
  <c r="CL10" i="5"/>
  <c r="AO9" i="5"/>
  <c r="AN9" i="5"/>
  <c r="BS9" i="5"/>
  <c r="BR9" i="5"/>
  <c r="BA9" i="5"/>
  <c r="BB9" i="5"/>
  <c r="AE28" i="5"/>
  <c r="AE41" i="5" s="1"/>
  <c r="AE10" i="5"/>
  <c r="AD11" i="5"/>
  <c r="AJ9" i="5"/>
  <c r="BM9" i="5"/>
  <c r="AI27" i="5"/>
  <c r="AI9" i="5"/>
  <c r="AJ27" i="5"/>
  <c r="AJ40" i="5"/>
  <c r="BN9" i="5"/>
  <c r="AV9" i="5"/>
  <c r="AW9" i="5"/>
  <c r="AI40" i="5"/>
  <c r="E16" i="5"/>
  <c r="CY114" i="3" l="1"/>
  <c r="CY114" i="4"/>
  <c r="CL13" i="5"/>
  <c r="AG46" i="5"/>
  <c r="BD11" i="5"/>
  <c r="CL11" i="5"/>
  <c r="CL14" i="5" s="1"/>
  <c r="AN10" i="5"/>
  <c r="AO10" i="5"/>
  <c r="BS10" i="5"/>
  <c r="BR10" i="5"/>
  <c r="BB10" i="5"/>
  <c r="BA10" i="5"/>
  <c r="AE11" i="5"/>
  <c r="AE29" i="5"/>
  <c r="AE42" i="5" s="1"/>
  <c r="AH46" i="5" s="1"/>
  <c r="AI28" i="5"/>
  <c r="BN10" i="5"/>
  <c r="AJ10" i="5"/>
  <c r="BM10" i="5"/>
  <c r="AV10" i="5"/>
  <c r="AW10" i="5"/>
  <c r="AI41" i="5"/>
  <c r="AJ28" i="5"/>
  <c r="AI10" i="5"/>
  <c r="AJ41" i="5"/>
  <c r="D56" i="5"/>
  <c r="D57" i="5"/>
  <c r="D58" i="5"/>
  <c r="D59" i="5"/>
  <c r="K128" i="6" l="1"/>
  <c r="AN11" i="5"/>
  <c r="AN16" i="5" s="1"/>
  <c r="I37" i="6" s="1"/>
  <c r="AO11" i="5"/>
  <c r="BS11" i="5"/>
  <c r="BS16" i="5" s="1"/>
  <c r="Q39" i="6" s="1"/>
  <c r="BR11" i="5"/>
  <c r="BR16" i="5" s="1"/>
  <c r="I39" i="6" s="1"/>
  <c r="BB11" i="5"/>
  <c r="BB16" i="5" s="1"/>
  <c r="Q38" i="6" s="1"/>
  <c r="BA11" i="5"/>
  <c r="BA16" i="5" s="1"/>
  <c r="I38" i="6" s="1"/>
  <c r="AI42" i="5"/>
  <c r="BN11" i="5"/>
  <c r="BN16" i="5" s="1"/>
  <c r="AJ29" i="5"/>
  <c r="AJ30" i="5" s="1"/>
  <c r="AW11" i="5"/>
  <c r="AW16" i="5" s="1"/>
  <c r="Q36" i="6" s="1"/>
  <c r="BM11" i="5"/>
  <c r="BM16" i="5" s="1"/>
  <c r="AI29" i="5"/>
  <c r="AI30" i="5" s="1"/>
  <c r="AJ11" i="5"/>
  <c r="AJ42" i="5"/>
  <c r="AV11" i="5"/>
  <c r="AV16" i="5" s="1"/>
  <c r="I36" i="6" s="1"/>
  <c r="AI11" i="5"/>
  <c r="AC16" i="5" s="1"/>
  <c r="C170" i="6" s="1"/>
  <c r="CZ11" i="4" l="1"/>
  <c r="CZ11" i="3"/>
  <c r="CY12" i="4"/>
  <c r="DC12" i="4"/>
  <c r="DB13" i="4"/>
  <c r="DA14" i="4"/>
  <c r="CZ15" i="4"/>
  <c r="CY16" i="4"/>
  <c r="DC16" i="4"/>
  <c r="DB17" i="4"/>
  <c r="DA18" i="4"/>
  <c r="CZ19" i="4"/>
  <c r="CY20" i="4"/>
  <c r="DC20" i="4"/>
  <c r="DB21" i="4"/>
  <c r="DA22" i="4"/>
  <c r="CZ23" i="4"/>
  <c r="CY24" i="4"/>
  <c r="DC24" i="4"/>
  <c r="DB25" i="4"/>
  <c r="DA26" i="4"/>
  <c r="CZ27" i="4"/>
  <c r="CY28" i="4"/>
  <c r="DC28" i="4"/>
  <c r="DB29" i="4"/>
  <c r="DA30" i="4"/>
  <c r="CZ31" i="4"/>
  <c r="CY32" i="4"/>
  <c r="DC32" i="4"/>
  <c r="DB33" i="4"/>
  <c r="DA34" i="4"/>
  <c r="CZ35" i="4"/>
  <c r="CY36" i="4"/>
  <c r="DC36" i="4"/>
  <c r="DB37" i="4"/>
  <c r="DA38" i="4"/>
  <c r="CZ39" i="4"/>
  <c r="CY40" i="4"/>
  <c r="DC40" i="4"/>
  <c r="DB41" i="4"/>
  <c r="DA42" i="4"/>
  <c r="CZ43" i="4"/>
  <c r="CY44" i="4"/>
  <c r="DC44" i="4"/>
  <c r="DB45" i="4"/>
  <c r="DA46" i="4"/>
  <c r="CZ47" i="4"/>
  <c r="CY48" i="4"/>
  <c r="DC48" i="4"/>
  <c r="DB49" i="4"/>
  <c r="DA50" i="4"/>
  <c r="CZ51" i="4"/>
  <c r="CY52" i="4"/>
  <c r="DC52" i="4"/>
  <c r="DB53" i="4"/>
  <c r="DA54" i="4"/>
  <c r="CZ55" i="4"/>
  <c r="CY56" i="4"/>
  <c r="DC56" i="4"/>
  <c r="DB57" i="4"/>
  <c r="DA58" i="4"/>
  <c r="CZ59" i="4"/>
  <c r="CY60" i="4"/>
  <c r="DC60" i="4"/>
  <c r="DB61" i="4"/>
  <c r="DA62" i="4"/>
  <c r="CZ63" i="4"/>
  <c r="CY64" i="4"/>
  <c r="DC64" i="4"/>
  <c r="DB65" i="4"/>
  <c r="DA66" i="4"/>
  <c r="CZ67" i="4"/>
  <c r="CY68" i="4"/>
  <c r="DC68" i="4"/>
  <c r="DB69" i="4"/>
  <c r="DA70" i="4"/>
  <c r="CZ71" i="4"/>
  <c r="CY72" i="4"/>
  <c r="DC72" i="4"/>
  <c r="DB73" i="4"/>
  <c r="DA74" i="4"/>
  <c r="CZ75" i="4"/>
  <c r="CY76" i="4"/>
  <c r="DC76" i="4"/>
  <c r="DB77" i="4"/>
  <c r="DA78" i="4"/>
  <c r="CZ79" i="4"/>
  <c r="CZ12" i="4"/>
  <c r="CY13" i="4"/>
  <c r="DC13" i="4"/>
  <c r="DB14" i="4"/>
  <c r="DA15" i="4"/>
  <c r="CZ16" i="4"/>
  <c r="CY17" i="4"/>
  <c r="DC17" i="4"/>
  <c r="DB18" i="4"/>
  <c r="DA19" i="4"/>
  <c r="CZ20" i="4"/>
  <c r="CY21" i="4"/>
  <c r="DC21" i="4"/>
  <c r="DB22" i="4"/>
  <c r="DA23" i="4"/>
  <c r="CZ24" i="4"/>
  <c r="CY25" i="4"/>
  <c r="DC25" i="4"/>
  <c r="DB26" i="4"/>
  <c r="DA27" i="4"/>
  <c r="CZ28" i="4"/>
  <c r="CY29" i="4"/>
  <c r="DC29" i="4"/>
  <c r="DB30" i="4"/>
  <c r="DA31" i="4"/>
  <c r="CZ32" i="4"/>
  <c r="CY33" i="4"/>
  <c r="DC33" i="4"/>
  <c r="DB34" i="4"/>
  <c r="DA35" i="4"/>
  <c r="CZ36" i="4"/>
  <c r="CY37" i="4"/>
  <c r="DC37" i="4"/>
  <c r="DB38" i="4"/>
  <c r="DA39" i="4"/>
  <c r="CZ40" i="4"/>
  <c r="CY41" i="4"/>
  <c r="DC41" i="4"/>
  <c r="DB42" i="4"/>
  <c r="DA43" i="4"/>
  <c r="CZ44" i="4"/>
  <c r="CY45" i="4"/>
  <c r="DC45" i="4"/>
  <c r="DB46" i="4"/>
  <c r="DA47" i="4"/>
  <c r="CZ48" i="4"/>
  <c r="CY49" i="4"/>
  <c r="DC49" i="4"/>
  <c r="DB50" i="4"/>
  <c r="DA51" i="4"/>
  <c r="CZ52" i="4"/>
  <c r="CY53" i="4"/>
  <c r="DC53" i="4"/>
  <c r="DB54" i="4"/>
  <c r="DA55" i="4"/>
  <c r="CZ56" i="4"/>
  <c r="CY57" i="4"/>
  <c r="DC57" i="4"/>
  <c r="DB58" i="4"/>
  <c r="DA59" i="4"/>
  <c r="CZ60" i="4"/>
  <c r="CY61" i="4"/>
  <c r="DC61" i="4"/>
  <c r="DB62" i="4"/>
  <c r="DA63" i="4"/>
  <c r="CZ64" i="4"/>
  <c r="CY65" i="4"/>
  <c r="DC65" i="4"/>
  <c r="DB66" i="4"/>
  <c r="DA67" i="4"/>
  <c r="CZ68" i="4"/>
  <c r="CY69" i="4"/>
  <c r="DC69" i="4"/>
  <c r="DB70" i="4"/>
  <c r="DA71" i="4"/>
  <c r="CZ72" i="4"/>
  <c r="CY73" i="4"/>
  <c r="DC73" i="4"/>
  <c r="DB74" i="4"/>
  <c r="DA75" i="4"/>
  <c r="CZ76" i="4"/>
  <c r="CY77" i="4"/>
  <c r="DC77" i="4"/>
  <c r="DB78" i="4"/>
  <c r="DA79" i="4"/>
  <c r="DA12" i="4"/>
  <c r="CY14" i="4"/>
  <c r="DB15" i="4"/>
  <c r="CZ17" i="4"/>
  <c r="DC18" i="4"/>
  <c r="DA20" i="4"/>
  <c r="CY22" i="4"/>
  <c r="DB23" i="4"/>
  <c r="CZ25" i="4"/>
  <c r="DC26" i="4"/>
  <c r="DA28" i="4"/>
  <c r="CY30" i="4"/>
  <c r="DB31" i="4"/>
  <c r="CZ33" i="4"/>
  <c r="DC34" i="4"/>
  <c r="DA36" i="4"/>
  <c r="CY38" i="4"/>
  <c r="DB39" i="4"/>
  <c r="CZ41" i="4"/>
  <c r="DC42" i="4"/>
  <c r="DA44" i="4"/>
  <c r="CY46" i="4"/>
  <c r="DB47" i="4"/>
  <c r="CZ49" i="4"/>
  <c r="DC50" i="4"/>
  <c r="DA52" i="4"/>
  <c r="CY54" i="4"/>
  <c r="DB55" i="4"/>
  <c r="CZ57" i="4"/>
  <c r="DC58" i="4"/>
  <c r="DA60" i="4"/>
  <c r="CY62" i="4"/>
  <c r="DB63" i="4"/>
  <c r="CZ65" i="4"/>
  <c r="DC66" i="4"/>
  <c r="DA68" i="4"/>
  <c r="CY70" i="4"/>
  <c r="DB71" i="4"/>
  <c r="CZ73" i="4"/>
  <c r="DC74" i="4"/>
  <c r="DA76" i="4"/>
  <c r="CY78" i="4"/>
  <c r="DB79" i="4"/>
  <c r="DA80" i="4"/>
  <c r="CZ81" i="4"/>
  <c r="CY82" i="4"/>
  <c r="DC82" i="4"/>
  <c r="DB83" i="4"/>
  <c r="DA84" i="4"/>
  <c r="CZ85" i="4"/>
  <c r="CY86" i="4"/>
  <c r="DC86" i="4"/>
  <c r="DB87" i="4"/>
  <c r="DA88" i="4"/>
  <c r="CZ89" i="4"/>
  <c r="CY90" i="4"/>
  <c r="DC90" i="4"/>
  <c r="DB91" i="4"/>
  <c r="DA92" i="4"/>
  <c r="CZ93" i="4"/>
  <c r="CY94" i="4"/>
  <c r="DC94" i="4"/>
  <c r="DB95" i="4"/>
  <c r="DA96" i="4"/>
  <c r="CZ97" i="4"/>
  <c r="CY98" i="4"/>
  <c r="DC98" i="4"/>
  <c r="DB99" i="4"/>
  <c r="DA100" i="4"/>
  <c r="CZ101" i="4"/>
  <c r="CY102" i="4"/>
  <c r="DC102" i="4"/>
  <c r="DB103" i="4"/>
  <c r="DA104" i="4"/>
  <c r="CZ105" i="4"/>
  <c r="CY106" i="4"/>
  <c r="DC106" i="4"/>
  <c r="DB12" i="3"/>
  <c r="DA13" i="3"/>
  <c r="CZ14" i="3"/>
  <c r="CY15" i="3"/>
  <c r="DC15" i="3"/>
  <c r="DB16" i="3"/>
  <c r="DA17" i="3"/>
  <c r="CZ18" i="3"/>
  <c r="DB12" i="4"/>
  <c r="DC14" i="4"/>
  <c r="DB16" i="4"/>
  <c r="CY19" i="4"/>
  <c r="CZ21" i="4"/>
  <c r="CY23" i="4"/>
  <c r="DA25" i="4"/>
  <c r="DB27" i="4"/>
  <c r="DA29" i="4"/>
  <c r="DC31" i="4"/>
  <c r="DC120" i="4" s="1"/>
  <c r="P147" i="6" s="1"/>
  <c r="CY34" i="4"/>
  <c r="DC35" i="4"/>
  <c r="CZ38" i="4"/>
  <c r="DA40" i="4"/>
  <c r="CZ42" i="4"/>
  <c r="DB44" i="4"/>
  <c r="DC46" i="4"/>
  <c r="DB48" i="4"/>
  <c r="CY51" i="4"/>
  <c r="CZ53" i="4"/>
  <c r="CY55" i="4"/>
  <c r="DA57" i="4"/>
  <c r="DB59" i="4"/>
  <c r="DA61" i="4"/>
  <c r="DC63" i="4"/>
  <c r="CY66" i="4"/>
  <c r="DC67" i="4"/>
  <c r="CZ70" i="4"/>
  <c r="DA72" i="4"/>
  <c r="CZ74" i="4"/>
  <c r="DB76" i="4"/>
  <c r="DC78" i="4"/>
  <c r="CZ80" i="4"/>
  <c r="DA81" i="4"/>
  <c r="DA82" i="4"/>
  <c r="DA83" i="4"/>
  <c r="DB84" i="4"/>
  <c r="DB85" i="4"/>
  <c r="DB86" i="4"/>
  <c r="DC87" i="4"/>
  <c r="DC88" i="4"/>
  <c r="DC89" i="4"/>
  <c r="CY91" i="4"/>
  <c r="CY92" i="4"/>
  <c r="CY93" i="4"/>
  <c r="CZ94" i="4"/>
  <c r="CZ95" i="4"/>
  <c r="CZ96" i="4"/>
  <c r="DA97" i="4"/>
  <c r="DA98" i="4"/>
  <c r="DA99" i="4"/>
  <c r="DB100" i="4"/>
  <c r="DB101" i="4"/>
  <c r="DB102" i="4"/>
  <c r="DC103" i="4"/>
  <c r="DC104" i="4"/>
  <c r="DC105" i="4"/>
  <c r="CY12" i="3"/>
  <c r="CY13" i="3"/>
  <c r="CY14" i="3"/>
  <c r="CZ15" i="3"/>
  <c r="CZ16" i="3"/>
  <c r="CZ17" i="3"/>
  <c r="DA18" i="3"/>
  <c r="CZ19" i="3"/>
  <c r="CY20" i="3"/>
  <c r="DC20" i="3"/>
  <c r="DB21" i="3"/>
  <c r="DA22" i="3"/>
  <c r="CZ23" i="3"/>
  <c r="CY24" i="3"/>
  <c r="DC24" i="3"/>
  <c r="DB25" i="3"/>
  <c r="DA26" i="3"/>
  <c r="CZ27" i="3"/>
  <c r="CY28" i="3"/>
  <c r="DC28" i="3"/>
  <c r="DB29" i="3"/>
  <c r="DA30" i="3"/>
  <c r="CZ31" i="3"/>
  <c r="CY32" i="3"/>
  <c r="DC32" i="3"/>
  <c r="DB33" i="3"/>
  <c r="DA34" i="3"/>
  <c r="CZ35" i="3"/>
  <c r="CY36" i="3"/>
  <c r="DC36" i="3"/>
  <c r="DB37" i="3"/>
  <c r="DA38" i="3"/>
  <c r="CZ39" i="3"/>
  <c r="CY40" i="3"/>
  <c r="DC40" i="3"/>
  <c r="DB41" i="3"/>
  <c r="DA42" i="3"/>
  <c r="CZ43" i="3"/>
  <c r="CY44" i="3"/>
  <c r="DC44" i="3"/>
  <c r="DB45" i="3"/>
  <c r="DA46" i="3"/>
  <c r="CZ47" i="3"/>
  <c r="CY48" i="3"/>
  <c r="DC48" i="3"/>
  <c r="DB49" i="3"/>
  <c r="DA50" i="3"/>
  <c r="CZ51" i="3"/>
  <c r="CY52" i="3"/>
  <c r="DC52" i="3"/>
  <c r="DB53" i="3"/>
  <c r="DA54" i="3"/>
  <c r="CZ55" i="3"/>
  <c r="CY56" i="3"/>
  <c r="DC56" i="3"/>
  <c r="DB57" i="3"/>
  <c r="DA58" i="3"/>
  <c r="CZ59" i="3"/>
  <c r="CY60" i="3"/>
  <c r="DC60" i="3"/>
  <c r="DB61" i="3"/>
  <c r="DA62" i="3"/>
  <c r="CZ63" i="3"/>
  <c r="CY64" i="3"/>
  <c r="DC64" i="3"/>
  <c r="DB65" i="3"/>
  <c r="DA66" i="3"/>
  <c r="CZ67" i="3"/>
  <c r="CY68" i="3"/>
  <c r="DC68" i="3"/>
  <c r="DB69" i="3"/>
  <c r="DA70" i="3"/>
  <c r="CZ71" i="3"/>
  <c r="CY72" i="3"/>
  <c r="DC72" i="3"/>
  <c r="DB73" i="3"/>
  <c r="DA74" i="3"/>
  <c r="CZ75" i="3"/>
  <c r="CY76" i="3"/>
  <c r="DC76" i="3"/>
  <c r="DB77" i="3"/>
  <c r="DA78" i="3"/>
  <c r="CZ79" i="3"/>
  <c r="CY80" i="3"/>
  <c r="DC80" i="3"/>
  <c r="DB81" i="3"/>
  <c r="DA82" i="3"/>
  <c r="CZ83" i="3"/>
  <c r="CY84" i="3"/>
  <c r="DC84" i="3"/>
  <c r="DB85" i="3"/>
  <c r="DA86" i="3"/>
  <c r="CZ87" i="3"/>
  <c r="CY88" i="3"/>
  <c r="DC88" i="3"/>
  <c r="DB89" i="3"/>
  <c r="DA90" i="3"/>
  <c r="CZ91" i="3"/>
  <c r="CY92" i="3"/>
  <c r="DC92" i="3"/>
  <c r="DB93" i="3"/>
  <c r="DA94" i="3"/>
  <c r="CZ95" i="3"/>
  <c r="CY96" i="3"/>
  <c r="DC96" i="3"/>
  <c r="DB97" i="3"/>
  <c r="DA98" i="3"/>
  <c r="CZ99" i="3"/>
  <c r="CY100" i="3"/>
  <c r="DC100" i="3"/>
  <c r="DB101" i="3"/>
  <c r="DA102" i="3"/>
  <c r="CZ103" i="3"/>
  <c r="CZ13" i="4"/>
  <c r="DC15" i="4"/>
  <c r="CZ18" i="4"/>
  <c r="DA21" i="4"/>
  <c r="DA24" i="4"/>
  <c r="CY27" i="4"/>
  <c r="CZ30" i="4"/>
  <c r="DB32" i="4"/>
  <c r="DB35" i="4"/>
  <c r="DC38" i="4"/>
  <c r="DA41" i="4"/>
  <c r="DC43" i="4"/>
  <c r="CY47" i="4"/>
  <c r="CY50" i="4"/>
  <c r="DB52" i="4"/>
  <c r="DC55" i="4"/>
  <c r="DC126" i="4" s="1"/>
  <c r="P153" i="6" s="1"/>
  <c r="CZ58" i="4"/>
  <c r="CZ61" i="4"/>
  <c r="DA64" i="4"/>
  <c r="CY67" i="4"/>
  <c r="CY129" i="4" s="1"/>
  <c r="L156" i="6" s="1"/>
  <c r="DA69" i="4"/>
  <c r="DB72" i="4"/>
  <c r="DB75" i="4"/>
  <c r="CZ78" i="4"/>
  <c r="DB80" i="4"/>
  <c r="DC81" i="4"/>
  <c r="CZ83" i="4"/>
  <c r="DC84" i="4"/>
  <c r="CZ86" i="4"/>
  <c r="DA87" i="4"/>
  <c r="CY89" i="4"/>
  <c r="DA90" i="4"/>
  <c r="DC91" i="4"/>
  <c r="DA93" i="4"/>
  <c r="DB94" i="4"/>
  <c r="CY96" i="4"/>
  <c r="DB97" i="4"/>
  <c r="CY99" i="4"/>
  <c r="CZ100" i="4"/>
  <c r="DC101" i="4"/>
  <c r="CZ103" i="4"/>
  <c r="DB104" i="4"/>
  <c r="CZ106" i="4"/>
  <c r="DA12" i="3"/>
  <c r="DC13" i="3"/>
  <c r="DA15" i="3"/>
  <c r="DC16" i="3"/>
  <c r="CY18" i="3"/>
  <c r="DA19" i="3"/>
  <c r="DA20" i="3"/>
  <c r="DA21" i="3"/>
  <c r="DB22" i="3"/>
  <c r="DB23" i="3"/>
  <c r="DB24" i="3"/>
  <c r="DC25" i="3"/>
  <c r="DC26" i="3"/>
  <c r="DC27" i="3"/>
  <c r="CY29" i="3"/>
  <c r="CY30" i="3"/>
  <c r="CY31" i="3"/>
  <c r="CZ32" i="3"/>
  <c r="CZ33" i="3"/>
  <c r="CZ34" i="3"/>
  <c r="DA35" i="3"/>
  <c r="DA36" i="3"/>
  <c r="DA37" i="3"/>
  <c r="DB38" i="3"/>
  <c r="DB39" i="3"/>
  <c r="DB40" i="3"/>
  <c r="DC41" i="3"/>
  <c r="DC42" i="3"/>
  <c r="DC43" i="3"/>
  <c r="CY45" i="3"/>
  <c r="CY46" i="3"/>
  <c r="CY47" i="3"/>
  <c r="CZ48" i="3"/>
  <c r="CZ49" i="3"/>
  <c r="CZ50" i="3"/>
  <c r="DA51" i="3"/>
  <c r="DA52" i="3"/>
  <c r="DA53" i="3"/>
  <c r="DB54" i="3"/>
  <c r="DB55" i="3"/>
  <c r="DB56" i="3"/>
  <c r="DC57" i="3"/>
  <c r="DC58" i="3"/>
  <c r="DC59" i="3"/>
  <c r="CY61" i="3"/>
  <c r="CY62" i="3"/>
  <c r="CY63" i="3"/>
  <c r="CZ64" i="3"/>
  <c r="CZ65" i="3"/>
  <c r="CZ66" i="3"/>
  <c r="DA67" i="3"/>
  <c r="DA68" i="3"/>
  <c r="DA69" i="3"/>
  <c r="DB70" i="3"/>
  <c r="DB71" i="3"/>
  <c r="DB72" i="3"/>
  <c r="DC73" i="3"/>
  <c r="DC74" i="3"/>
  <c r="DC75" i="3"/>
  <c r="CY77" i="3"/>
  <c r="CY78" i="3"/>
  <c r="CY79" i="3"/>
  <c r="CZ80" i="3"/>
  <c r="CZ81" i="3"/>
  <c r="CZ82" i="3"/>
  <c r="DA83" i="3"/>
  <c r="DA84" i="3"/>
  <c r="DA85" i="3"/>
  <c r="DB86" i="3"/>
  <c r="DB87" i="3"/>
  <c r="DB88" i="3"/>
  <c r="DC89" i="3"/>
  <c r="DC90" i="3"/>
  <c r="DC91" i="3"/>
  <c r="CY93" i="3"/>
  <c r="CY94" i="3"/>
  <c r="CY95" i="3"/>
  <c r="CZ96" i="3"/>
  <c r="CZ97" i="3"/>
  <c r="CZ98" i="3"/>
  <c r="DA99" i="3"/>
  <c r="DA100" i="3"/>
  <c r="DA101" i="3"/>
  <c r="DB102" i="3"/>
  <c r="DB103" i="3"/>
  <c r="DA104" i="3"/>
  <c r="CZ105" i="3"/>
  <c r="CY106" i="3"/>
  <c r="DC106" i="3"/>
  <c r="DB11" i="3"/>
  <c r="DA13" i="4"/>
  <c r="DA16" i="4"/>
  <c r="DB19" i="4"/>
  <c r="DB24" i="4"/>
  <c r="DC27" i="4"/>
  <c r="DC30" i="4"/>
  <c r="DA33" i="4"/>
  <c r="CY39" i="4"/>
  <c r="CZ45" i="4"/>
  <c r="CZ50" i="4"/>
  <c r="DA56" i="4"/>
  <c r="CZ62" i="4"/>
  <c r="DB67" i="4"/>
  <c r="DA73" i="4"/>
  <c r="DC75" i="4"/>
  <c r="DC80" i="4"/>
  <c r="DC83" i="4"/>
  <c r="DA86" i="4"/>
  <c r="DA89" i="4"/>
  <c r="CZ92" i="4"/>
  <c r="DB96" i="4"/>
  <c r="CZ99" i="4"/>
  <c r="DC100" i="4"/>
  <c r="DA103" i="4"/>
  <c r="DA106" i="4"/>
  <c r="DA14" i="3"/>
  <c r="DB15" i="3"/>
  <c r="DB18" i="3"/>
  <c r="DB19" i="3"/>
  <c r="DC21" i="3"/>
  <c r="DC23" i="3"/>
  <c r="CY26" i="3"/>
  <c r="CZ28" i="3"/>
  <c r="CZ30" i="3"/>
  <c r="DA32" i="3"/>
  <c r="DB34" i="3"/>
  <c r="DB35" i="3"/>
  <c r="DC37" i="3"/>
  <c r="DC39" i="3"/>
  <c r="CY42" i="3"/>
  <c r="CZ44" i="3"/>
  <c r="CZ46" i="3"/>
  <c r="DA48" i="3"/>
  <c r="DB50" i="3"/>
  <c r="DB52" i="3"/>
  <c r="DC53" i="3"/>
  <c r="DC55" i="3"/>
  <c r="CY58" i="3"/>
  <c r="CZ60" i="3"/>
  <c r="CZ62" i="3"/>
  <c r="DA63" i="3"/>
  <c r="DA65" i="3"/>
  <c r="DB67" i="3"/>
  <c r="DC69" i="3"/>
  <c r="DC71" i="3"/>
  <c r="CY74" i="3"/>
  <c r="CZ76" i="3"/>
  <c r="CZ78" i="3"/>
  <c r="DA80" i="3"/>
  <c r="DA81" i="3"/>
  <c r="DB84" i="3"/>
  <c r="DC85" i="3"/>
  <c r="DC87" i="3"/>
  <c r="CY90" i="3"/>
  <c r="CZ92" i="3"/>
  <c r="CZ94" i="3"/>
  <c r="DA96" i="3"/>
  <c r="DB98" i="3"/>
  <c r="DB99" i="3"/>
  <c r="DC101" i="3"/>
  <c r="DC103" i="3"/>
  <c r="DA105" i="3"/>
  <c r="DC11" i="4"/>
  <c r="CY11" i="4"/>
  <c r="DA17" i="4"/>
  <c r="DC19" i="4"/>
  <c r="CY26" i="4"/>
  <c r="CZ34" i="4"/>
  <c r="DC39" i="4"/>
  <c r="CY43" i="4"/>
  <c r="DA48" i="4"/>
  <c r="DB56" i="4"/>
  <c r="DC59" i="4"/>
  <c r="DA65" i="4"/>
  <c r="CY71" i="4"/>
  <c r="CZ77" i="4"/>
  <c r="CY81" i="4"/>
  <c r="CY84" i="4"/>
  <c r="CY87" i="4"/>
  <c r="DB89" i="4"/>
  <c r="CZ91" i="4"/>
  <c r="DA95" i="4"/>
  <c r="DC96" i="4"/>
  <c r="DC99" i="4"/>
  <c r="CY104" i="4"/>
  <c r="DA105" i="4"/>
  <c r="DB14" i="3"/>
  <c r="CY16" i="3"/>
  <c r="DC18" i="3"/>
  <c r="CY21" i="3"/>
  <c r="CY23" i="3"/>
  <c r="CZ25" i="3"/>
  <c r="DA27" i="3"/>
  <c r="DA29" i="3"/>
  <c r="DB31" i="3"/>
  <c r="DC33" i="3"/>
  <c r="DC35" i="3"/>
  <c r="CY38" i="3"/>
  <c r="CZ40" i="3"/>
  <c r="CZ42" i="3"/>
  <c r="DA44" i="3"/>
  <c r="DB46" i="3"/>
  <c r="DB48" i="3"/>
  <c r="DC50" i="3"/>
  <c r="CY53" i="3"/>
  <c r="CY55" i="3"/>
  <c r="CZ57" i="3"/>
  <c r="DA59" i="3"/>
  <c r="DA61" i="3"/>
  <c r="DB63" i="3"/>
  <c r="DC65" i="3"/>
  <c r="DC67" i="3"/>
  <c r="CY70" i="3"/>
  <c r="CZ72" i="3"/>
  <c r="CZ74" i="3"/>
  <c r="DA76" i="3"/>
  <c r="DB78" i="3"/>
  <c r="DB80" i="3"/>
  <c r="DC81" i="3"/>
  <c r="DC83" i="3"/>
  <c r="CY85" i="3"/>
  <c r="CY86" i="3"/>
  <c r="CY87" i="3"/>
  <c r="CZ88" i="3"/>
  <c r="CZ89" i="3"/>
  <c r="CZ90" i="3"/>
  <c r="DA91" i="3"/>
  <c r="DA92" i="3"/>
  <c r="DA93" i="3"/>
  <c r="DB94" i="3"/>
  <c r="DB95" i="3"/>
  <c r="DB96" i="3"/>
  <c r="DC97" i="3"/>
  <c r="DC98" i="3"/>
  <c r="DC99" i="3"/>
  <c r="CY101" i="3"/>
  <c r="CY102" i="3"/>
  <c r="CY103" i="3"/>
  <c r="CY104" i="3"/>
  <c r="DC104" i="3"/>
  <c r="DB105" i="3"/>
  <c r="DA106" i="3"/>
  <c r="DC11" i="3"/>
  <c r="DA11" i="3"/>
  <c r="CY11" i="3"/>
  <c r="CY15" i="4"/>
  <c r="DB20" i="4"/>
  <c r="DC23" i="4"/>
  <c r="CZ26" i="4"/>
  <c r="CZ29" i="4"/>
  <c r="DA32" i="4"/>
  <c r="CY35" i="4"/>
  <c r="DA37" i="4"/>
  <c r="DB40" i="4"/>
  <c r="DB43" i="4"/>
  <c r="CZ46" i="4"/>
  <c r="DA49" i="4"/>
  <c r="DC54" i="4"/>
  <c r="DB60" i="4"/>
  <c r="CZ66" i="4"/>
  <c r="DC71" i="4"/>
  <c r="CY80" i="4"/>
  <c r="DB81" i="4"/>
  <c r="CZ84" i="4"/>
  <c r="CZ87" i="4"/>
  <c r="DA91" i="4"/>
  <c r="DA94" i="4"/>
  <c r="CY97" i="4"/>
  <c r="DB98" i="4"/>
  <c r="DA101" i="4"/>
  <c r="CZ104" i="4"/>
  <c r="DB13" i="3"/>
  <c r="DC14" i="3"/>
  <c r="DC17" i="3"/>
  <c r="CZ20" i="3"/>
  <c r="CZ22" i="3"/>
  <c r="DA24" i="3"/>
  <c r="DB26" i="3"/>
  <c r="DB28" i="3"/>
  <c r="DC30" i="3"/>
  <c r="DC31" i="3"/>
  <c r="CY34" i="3"/>
  <c r="CZ36" i="3"/>
  <c r="CZ38" i="3"/>
  <c r="DA40" i="3"/>
  <c r="DB42" i="3"/>
  <c r="DB44" i="3"/>
  <c r="DC46" i="3"/>
  <c r="CY49" i="3"/>
  <c r="CY50" i="3"/>
  <c r="CZ52" i="3"/>
  <c r="CZ54" i="3"/>
  <c r="DA55" i="3"/>
  <c r="DA57" i="3"/>
  <c r="DB60" i="3"/>
  <c r="DC62" i="3"/>
  <c r="CY65" i="3"/>
  <c r="CZ22" i="4"/>
  <c r="DB36" i="4"/>
  <c r="CY42" i="4"/>
  <c r="DC47" i="4"/>
  <c r="DC124" i="4" s="1"/>
  <c r="P151" i="6" s="1"/>
  <c r="DA53" i="4"/>
  <c r="CY59" i="4"/>
  <c r="DB64" i="4"/>
  <c r="DC70" i="4"/>
  <c r="CY79" i="4"/>
  <c r="CZ82" i="4"/>
  <c r="CY85" i="4"/>
  <c r="CY88" i="4"/>
  <c r="DB90" i="4"/>
  <c r="DB93" i="4"/>
  <c r="CY95" i="4"/>
  <c r="DC97" i="4"/>
  <c r="CZ102" i="4"/>
  <c r="CY105" i="4"/>
  <c r="DC12" i="3"/>
  <c r="CY17" i="3"/>
  <c r="DB20" i="3"/>
  <c r="DC22" i="3"/>
  <c r="CY25" i="3"/>
  <c r="CY27" i="3"/>
  <c r="CZ29" i="3"/>
  <c r="DA31" i="3"/>
  <c r="DA33" i="3"/>
  <c r="DB36" i="3"/>
  <c r="DC38" i="3"/>
  <c r="CY41" i="3"/>
  <c r="CY43" i="3"/>
  <c r="CZ45" i="3"/>
  <c r="DA47" i="3"/>
  <c r="DA49" i="3"/>
  <c r="DB51" i="3"/>
  <c r="DC54" i="3"/>
  <c r="CY57" i="3"/>
  <c r="CY59" i="3"/>
  <c r="CZ61" i="3"/>
  <c r="DA64" i="3"/>
  <c r="DB66" i="3"/>
  <c r="DB68" i="3"/>
  <c r="DC70" i="3"/>
  <c r="CY73" i="3"/>
  <c r="CY75" i="3"/>
  <c r="CZ77" i="3"/>
  <c r="DA79" i="3"/>
  <c r="DB82" i="3"/>
  <c r="DB83" i="3"/>
  <c r="DC86" i="3"/>
  <c r="CY89" i="3"/>
  <c r="CY91" i="3"/>
  <c r="CZ93" i="3"/>
  <c r="DA95" i="3"/>
  <c r="DA97" i="3"/>
  <c r="DB100" i="3"/>
  <c r="DC102" i="3"/>
  <c r="DB104" i="3"/>
  <c r="CZ106" i="3"/>
  <c r="DA11" i="4"/>
  <c r="CZ14" i="4"/>
  <c r="DC22" i="4"/>
  <c r="DB28" i="4"/>
  <c r="CY31" i="4"/>
  <c r="CZ37" i="4"/>
  <c r="DA45" i="4"/>
  <c r="DB51" i="4"/>
  <c r="CZ54" i="4"/>
  <c r="DC62" i="4"/>
  <c r="DB68" i="4"/>
  <c r="CY74" i="4"/>
  <c r="DC79" i="4"/>
  <c r="DB82" i="4"/>
  <c r="DA85" i="4"/>
  <c r="CZ88" i="4"/>
  <c r="DB92" i="4"/>
  <c r="DC93" i="4"/>
  <c r="CZ98" i="4"/>
  <c r="CY101" i="4"/>
  <c r="DA102" i="4"/>
  <c r="DB106" i="4"/>
  <c r="CZ13" i="3"/>
  <c r="DB17" i="3"/>
  <c r="DC19" i="3"/>
  <c r="CY22" i="3"/>
  <c r="CZ24" i="3"/>
  <c r="CZ26" i="3"/>
  <c r="DA28" i="3"/>
  <c r="DB30" i="3"/>
  <c r="DB32" i="3"/>
  <c r="DC34" i="3"/>
  <c r="CY37" i="3"/>
  <c r="CY39" i="3"/>
  <c r="CZ41" i="3"/>
  <c r="DA43" i="3"/>
  <c r="DA45" i="3"/>
  <c r="DB47" i="3"/>
  <c r="DC49" i="3"/>
  <c r="DC51" i="3"/>
  <c r="CY54" i="3"/>
  <c r="CZ56" i="3"/>
  <c r="CZ58" i="3"/>
  <c r="DA60" i="3"/>
  <c r="DB62" i="3"/>
  <c r="DB64" i="3"/>
  <c r="DC66" i="3"/>
  <c r="CY69" i="3"/>
  <c r="CY71" i="3"/>
  <c r="CZ73" i="3"/>
  <c r="DA75" i="3"/>
  <c r="DA77" i="3"/>
  <c r="DB79" i="3"/>
  <c r="DC82" i="3"/>
  <c r="CY18" i="4"/>
  <c r="DC51" i="4"/>
  <c r="CY58" i="4"/>
  <c r="CY63" i="4"/>
  <c r="CZ69" i="4"/>
  <c r="CY75" i="4"/>
  <c r="DA77" i="4"/>
  <c r="CY83" i="4"/>
  <c r="DC85" i="4"/>
  <c r="DB88" i="4"/>
  <c r="CZ90" i="4"/>
  <c r="DC92" i="4"/>
  <c r="DC95" i="4"/>
  <c r="CY100" i="4"/>
  <c r="CY103" i="4"/>
  <c r="DB105" i="4"/>
  <c r="CZ12" i="3"/>
  <c r="DA16" i="3"/>
  <c r="CY19" i="3"/>
  <c r="CZ21" i="3"/>
  <c r="DA23" i="3"/>
  <c r="DA25" i="3"/>
  <c r="DB27" i="3"/>
  <c r="DC29" i="3"/>
  <c r="CY33" i="3"/>
  <c r="CY35" i="3"/>
  <c r="CZ37" i="3"/>
  <c r="DA39" i="3"/>
  <c r="DA41" i="3"/>
  <c r="DB43" i="3"/>
  <c r="DC45" i="3"/>
  <c r="DC47" i="3"/>
  <c r="CY51" i="3"/>
  <c r="CZ53" i="3"/>
  <c r="DA56" i="3"/>
  <c r="DB58" i="3"/>
  <c r="DB59" i="3"/>
  <c r="DC61" i="3"/>
  <c r="DC63" i="3"/>
  <c r="CY66" i="3"/>
  <c r="CZ70" i="3"/>
  <c r="DB74" i="3"/>
  <c r="DC78" i="3"/>
  <c r="CY83" i="3"/>
  <c r="DA87" i="3"/>
  <c r="DB91" i="3"/>
  <c r="DC95" i="3"/>
  <c r="CZ100" i="3"/>
  <c r="CZ104" i="3"/>
  <c r="DB11" i="4"/>
  <c r="CZ68" i="3"/>
  <c r="DB76" i="3"/>
  <c r="CY81" i="3"/>
  <c r="DA89" i="3"/>
  <c r="CY98" i="3"/>
  <c r="DC105" i="3"/>
  <c r="DA73" i="3"/>
  <c r="CY82" i="3"/>
  <c r="CZ86" i="3"/>
  <c r="CY99" i="3"/>
  <c r="DA103" i="3"/>
  <c r="CY67" i="3"/>
  <c r="DA71" i="3"/>
  <c r="DB75" i="3"/>
  <c r="DC79" i="3"/>
  <c r="CZ84" i="3"/>
  <c r="DA88" i="3"/>
  <c r="DB92" i="3"/>
  <c r="CY97" i="3"/>
  <c r="CZ101" i="3"/>
  <c r="CY105" i="3"/>
  <c r="DA72" i="3"/>
  <c r="CZ85" i="3"/>
  <c r="DC93" i="3"/>
  <c r="CZ102" i="3"/>
  <c r="CZ69" i="3"/>
  <c r="DC77" i="3"/>
  <c r="DB90" i="3"/>
  <c r="DC94" i="3"/>
  <c r="DB106" i="3"/>
  <c r="AO16" i="5"/>
  <c r="Q37" i="6" s="1"/>
  <c r="AO13" i="5"/>
  <c r="AN13" i="5"/>
  <c r="AI16" i="5"/>
  <c r="I35" i="6" s="1"/>
  <c r="BR17" i="5"/>
  <c r="BA17" i="5"/>
  <c r="I24" i="6" s="1"/>
  <c r="AI13" i="5"/>
  <c r="AI43" i="5" s="1"/>
  <c r="AJ16" i="5"/>
  <c r="Q35" i="6" s="1"/>
  <c r="AJ13" i="5"/>
  <c r="AJ43" i="5" s="1"/>
  <c r="AI31" i="5"/>
  <c r="AV17" i="5"/>
  <c r="I22" i="6" s="1"/>
  <c r="BM17" i="5"/>
  <c r="DC123" i="4" l="1"/>
  <c r="P150" i="6" s="1"/>
  <c r="DC131" i="4"/>
  <c r="P158" i="6" s="1"/>
  <c r="DC128" i="3"/>
  <c r="H155" i="6" s="1"/>
  <c r="DA115" i="4"/>
  <c r="N142" i="6" s="1"/>
  <c r="CY135" i="3"/>
  <c r="D162" i="6" s="1"/>
  <c r="CY119" i="3"/>
  <c r="D146" i="6" s="1"/>
  <c r="DB125" i="3"/>
  <c r="G152" i="6" s="1"/>
  <c r="DC136" i="3"/>
  <c r="H163" i="6" s="1"/>
  <c r="CY138" i="4"/>
  <c r="L165" i="6" s="1"/>
  <c r="DB132" i="3"/>
  <c r="G159" i="6" s="1"/>
  <c r="CY130" i="3"/>
  <c r="D157" i="6" s="1"/>
  <c r="DC117" i="3"/>
  <c r="H144" i="6" s="1"/>
  <c r="DC132" i="4"/>
  <c r="P159" i="6" s="1"/>
  <c r="CY120" i="4"/>
  <c r="L147" i="6" s="1"/>
  <c r="DC130" i="4"/>
  <c r="P157" i="6" s="1"/>
  <c r="CY115" i="3"/>
  <c r="D142" i="6" s="1"/>
  <c r="DC122" i="4"/>
  <c r="P149" i="6" s="1"/>
  <c r="DC134" i="3"/>
  <c r="H161" i="6" s="1"/>
  <c r="DC122" i="3"/>
  <c r="H149" i="6" s="1"/>
  <c r="DC118" i="3"/>
  <c r="H145" i="6" s="1"/>
  <c r="CY123" i="3"/>
  <c r="D150" i="6" s="1"/>
  <c r="DA138" i="3"/>
  <c r="F165" i="6" s="1"/>
  <c r="DA130" i="3"/>
  <c r="F157" i="6" s="1"/>
  <c r="DB119" i="3"/>
  <c r="G146" i="6" s="1"/>
  <c r="CY117" i="3"/>
  <c r="D144" i="6" s="1"/>
  <c r="CZ135" i="4"/>
  <c r="M162" i="6" s="1"/>
  <c r="DC130" i="3"/>
  <c r="H157" i="6" s="1"/>
  <c r="DC126" i="3"/>
  <c r="H153" i="6" s="1"/>
  <c r="DC125" i="4"/>
  <c r="P152" i="6" s="1"/>
  <c r="DA137" i="3"/>
  <c r="F164" i="6" s="1"/>
  <c r="DA121" i="3"/>
  <c r="F148" i="6" s="1"/>
  <c r="DC120" i="3"/>
  <c r="H147" i="6" s="1"/>
  <c r="DC121" i="3"/>
  <c r="H148" i="6" s="1"/>
  <c r="DC127" i="4"/>
  <c r="P154" i="6" s="1"/>
  <c r="DC138" i="3"/>
  <c r="H165" i="6" s="1"/>
  <c r="DB116" i="3"/>
  <c r="G143" i="6" s="1"/>
  <c r="DB117" i="4"/>
  <c r="O144" i="6" s="1"/>
  <c r="DB122" i="3"/>
  <c r="G149" i="6" s="1"/>
  <c r="CY120" i="3"/>
  <c r="D147" i="6" s="1"/>
  <c r="CZ138" i="3"/>
  <c r="E165" i="6" s="1"/>
  <c r="CZ130" i="3"/>
  <c r="E157" i="6" s="1"/>
  <c r="CZ126" i="3"/>
  <c r="E153" i="6" s="1"/>
  <c r="CZ122" i="3"/>
  <c r="E149" i="6" s="1"/>
  <c r="CZ118" i="3"/>
  <c r="E145" i="6" s="1"/>
  <c r="CY118" i="4"/>
  <c r="L145" i="6" s="1"/>
  <c r="DB132" i="4"/>
  <c r="O159" i="6" s="1"/>
  <c r="DB116" i="4"/>
  <c r="O143" i="6" s="1"/>
  <c r="DA123" i="4"/>
  <c r="N150" i="6" s="1"/>
  <c r="CZ132" i="4"/>
  <c r="M159" i="6" s="1"/>
  <c r="CZ128" i="4"/>
  <c r="M155" i="6" s="1"/>
  <c r="CZ124" i="4"/>
  <c r="M151" i="6" s="1"/>
  <c r="CZ120" i="4"/>
  <c r="M147" i="6" s="1"/>
  <c r="CZ116" i="4"/>
  <c r="M143" i="6" s="1"/>
  <c r="DC119" i="4"/>
  <c r="P146" i="6" s="1"/>
  <c r="DB124" i="3"/>
  <c r="G151" i="6" s="1"/>
  <c r="CY122" i="3"/>
  <c r="D149" i="6" s="1"/>
  <c r="DA117" i="3"/>
  <c r="F144" i="6" s="1"/>
  <c r="CY124" i="4"/>
  <c r="L151" i="6" s="1"/>
  <c r="DC138" i="4"/>
  <c r="P165" i="6" s="1"/>
  <c r="CY135" i="4"/>
  <c r="L162" i="6" s="1"/>
  <c r="DA131" i="3"/>
  <c r="F158" i="6" s="1"/>
  <c r="DB136" i="3"/>
  <c r="G163" i="6" s="1"/>
  <c r="CZ134" i="4"/>
  <c r="M161" i="6" s="1"/>
  <c r="DA119" i="4"/>
  <c r="N146" i="6" s="1"/>
  <c r="CY129" i="3"/>
  <c r="D156" i="6" s="1"/>
  <c r="DB115" i="4"/>
  <c r="O142" i="6" s="1"/>
  <c r="DB135" i="3"/>
  <c r="G162" i="6" s="1"/>
  <c r="DB123" i="3"/>
  <c r="G150" i="6" s="1"/>
  <c r="CY121" i="3"/>
  <c r="D148" i="6" s="1"/>
  <c r="CY131" i="4"/>
  <c r="L158" i="6" s="1"/>
  <c r="DC125" i="3"/>
  <c r="H152" i="6" s="1"/>
  <c r="DA123" i="3"/>
  <c r="F150" i="6" s="1"/>
  <c r="DB125" i="4"/>
  <c r="O152" i="6" s="1"/>
  <c r="DA132" i="3"/>
  <c r="F159" i="6" s="1"/>
  <c r="CY136" i="4"/>
  <c r="L163" i="6" s="1"/>
  <c r="CY121" i="4"/>
  <c r="L148" i="6" s="1"/>
  <c r="DC118" i="4"/>
  <c r="P145" i="6" s="1"/>
  <c r="DA115" i="3"/>
  <c r="F142" i="6" s="1"/>
  <c r="DC133" i="3"/>
  <c r="H160" i="6" s="1"/>
  <c r="DC129" i="3"/>
  <c r="H156" i="6" s="1"/>
  <c r="DA127" i="3"/>
  <c r="F154" i="6" s="1"/>
  <c r="DC137" i="4"/>
  <c r="P164" i="6" s="1"/>
  <c r="CY115" i="4"/>
  <c r="L142" i="6" s="1"/>
  <c r="CZ137" i="4"/>
  <c r="M164" i="6" s="1"/>
  <c r="DC127" i="3"/>
  <c r="H154" i="6" s="1"/>
  <c r="DB126" i="3"/>
  <c r="G153" i="6" s="1"/>
  <c r="DA125" i="3"/>
  <c r="F152" i="6" s="1"/>
  <c r="CY124" i="3"/>
  <c r="D151" i="6" s="1"/>
  <c r="CZ133" i="4"/>
  <c r="M160" i="6" s="1"/>
  <c r="DB131" i="4"/>
  <c r="O158" i="6" s="1"/>
  <c r="CZ137" i="3"/>
  <c r="E164" i="6" s="1"/>
  <c r="CZ133" i="3"/>
  <c r="E160" i="6" s="1"/>
  <c r="CZ129" i="3"/>
  <c r="E156" i="6" s="1"/>
  <c r="CZ125" i="3"/>
  <c r="E152" i="6" s="1"/>
  <c r="CZ121" i="3"/>
  <c r="E148" i="6" s="1"/>
  <c r="CZ117" i="3"/>
  <c r="E144" i="6" s="1"/>
  <c r="CZ116" i="3"/>
  <c r="E143" i="6" s="1"/>
  <c r="DC128" i="4"/>
  <c r="P155" i="6" s="1"/>
  <c r="CY126" i="4"/>
  <c r="L153" i="6" s="1"/>
  <c r="DC116" i="3"/>
  <c r="H143" i="6" s="1"/>
  <c r="DB135" i="4"/>
  <c r="O162" i="6" s="1"/>
  <c r="DB130" i="4"/>
  <c r="O157" i="6" s="1"/>
  <c r="DB122" i="4"/>
  <c r="O149" i="6" s="1"/>
  <c r="DA130" i="4"/>
  <c r="N157" i="6" s="1"/>
  <c r="DA126" i="4"/>
  <c r="N153" i="6" s="1"/>
  <c r="DA122" i="4"/>
  <c r="N149" i="6" s="1"/>
  <c r="DA118" i="4"/>
  <c r="N145" i="6" s="1"/>
  <c r="CZ131" i="4"/>
  <c r="M158" i="6" s="1"/>
  <c r="CZ127" i="4"/>
  <c r="M154" i="6" s="1"/>
  <c r="CZ123" i="4"/>
  <c r="M150" i="6" s="1"/>
  <c r="CZ119" i="4"/>
  <c r="M146" i="6" s="1"/>
  <c r="CZ115" i="3"/>
  <c r="E142" i="6" s="1"/>
  <c r="DA126" i="3"/>
  <c r="F153" i="6" s="1"/>
  <c r="DA119" i="3"/>
  <c r="F146" i="6" s="1"/>
  <c r="CY136" i="3"/>
  <c r="D163" i="6" s="1"/>
  <c r="DB124" i="4"/>
  <c r="O151" i="6" s="1"/>
  <c r="DA131" i="4"/>
  <c r="N158" i="6" s="1"/>
  <c r="DC132" i="3"/>
  <c r="H159" i="6" s="1"/>
  <c r="DA134" i="3"/>
  <c r="F161" i="6" s="1"/>
  <c r="DB127" i="3"/>
  <c r="G154" i="6" s="1"/>
  <c r="CY125" i="3"/>
  <c r="D152" i="6" s="1"/>
  <c r="DA118" i="3"/>
  <c r="F145" i="6" s="1"/>
  <c r="DC136" i="4"/>
  <c r="P163" i="6" s="1"/>
  <c r="DA136" i="3"/>
  <c r="F163" i="6" s="1"/>
  <c r="CY127" i="3"/>
  <c r="D154" i="6" s="1"/>
  <c r="DA120" i="3"/>
  <c r="F147" i="6" s="1"/>
  <c r="CY127" i="4"/>
  <c r="L154" i="6" s="1"/>
  <c r="DB123" i="4"/>
  <c r="O150" i="6" s="1"/>
  <c r="DC115" i="3"/>
  <c r="H142" i="6" s="1"/>
  <c r="DC137" i="3"/>
  <c r="H164" i="6" s="1"/>
  <c r="DA135" i="3"/>
  <c r="F162" i="6" s="1"/>
  <c r="CY134" i="3"/>
  <c r="D161" i="6" s="1"/>
  <c r="DB120" i="3"/>
  <c r="G147" i="6" s="1"/>
  <c r="CY118" i="3"/>
  <c r="D145" i="6" s="1"/>
  <c r="CY134" i="4"/>
  <c r="L161" i="6" s="1"/>
  <c r="CY130" i="4"/>
  <c r="L157" i="6" s="1"/>
  <c r="DC115" i="4"/>
  <c r="P142" i="6" s="1"/>
  <c r="DB137" i="3"/>
  <c r="G164" i="6" s="1"/>
  <c r="DB129" i="3"/>
  <c r="G156" i="6" s="1"/>
  <c r="DB121" i="3"/>
  <c r="G148" i="6" s="1"/>
  <c r="DB117" i="3"/>
  <c r="G144" i="6" s="1"/>
  <c r="DC133" i="4"/>
  <c r="P160" i="6" s="1"/>
  <c r="DB129" i="4"/>
  <c r="O156" i="6" s="1"/>
  <c r="DC131" i="3"/>
  <c r="H158" i="6" s="1"/>
  <c r="DB130" i="3"/>
  <c r="G157" i="6" s="1"/>
  <c r="DA129" i="3"/>
  <c r="F156" i="6" s="1"/>
  <c r="CY128" i="3"/>
  <c r="D155" i="6" s="1"/>
  <c r="DA116" i="3"/>
  <c r="F143" i="6" s="1"/>
  <c r="CY137" i="4"/>
  <c r="L164" i="6" s="1"/>
  <c r="DA134" i="4"/>
  <c r="N161" i="6" s="1"/>
  <c r="CY119" i="4"/>
  <c r="L146" i="6" s="1"/>
  <c r="DC116" i="4"/>
  <c r="P143" i="6" s="1"/>
  <c r="CZ136" i="3"/>
  <c r="E163" i="6" s="1"/>
  <c r="CZ132" i="3"/>
  <c r="E159" i="6" s="1"/>
  <c r="CZ128" i="3"/>
  <c r="E155" i="6" s="1"/>
  <c r="CZ124" i="3"/>
  <c r="E151" i="6" s="1"/>
  <c r="CZ120" i="3"/>
  <c r="E147" i="6" s="1"/>
  <c r="DC134" i="4"/>
  <c r="P161" i="6" s="1"/>
  <c r="DA133" i="4"/>
  <c r="N160" i="6" s="1"/>
  <c r="DC121" i="4"/>
  <c r="P148" i="6" s="1"/>
  <c r="DB119" i="4"/>
  <c r="O146" i="6" s="1"/>
  <c r="CY117" i="4"/>
  <c r="L144" i="6" s="1"/>
  <c r="CY116" i="3"/>
  <c r="D143" i="6" s="1"/>
  <c r="DB138" i="4"/>
  <c r="O165" i="6" s="1"/>
  <c r="DB134" i="4"/>
  <c r="O161" i="6" s="1"/>
  <c r="DB128" i="4"/>
  <c r="O155" i="6" s="1"/>
  <c r="DB120" i="4"/>
  <c r="O147" i="6" s="1"/>
  <c r="DA129" i="4"/>
  <c r="N156" i="6" s="1"/>
  <c r="DA125" i="4"/>
  <c r="N152" i="6" s="1"/>
  <c r="DA121" i="4"/>
  <c r="N148" i="6" s="1"/>
  <c r="DA117" i="4"/>
  <c r="N144" i="6" s="1"/>
  <c r="CZ130" i="4"/>
  <c r="M157" i="6" s="1"/>
  <c r="CZ126" i="4"/>
  <c r="M153" i="6" s="1"/>
  <c r="CZ122" i="4"/>
  <c r="M149" i="6" s="1"/>
  <c r="CZ118" i="4"/>
  <c r="M145" i="6" s="1"/>
  <c r="CZ115" i="4"/>
  <c r="M142" i="6" s="1"/>
  <c r="DA128" i="3"/>
  <c r="F155" i="6" s="1"/>
  <c r="DB138" i="3"/>
  <c r="G165" i="6" s="1"/>
  <c r="DC123" i="3"/>
  <c r="H150" i="6" s="1"/>
  <c r="CZ134" i="3"/>
  <c r="E161" i="6" s="1"/>
  <c r="DB136" i="4"/>
  <c r="O163" i="6" s="1"/>
  <c r="DA127" i="4"/>
  <c r="N154" i="6" s="1"/>
  <c r="DB131" i="3"/>
  <c r="G158" i="6" s="1"/>
  <c r="CY137" i="3"/>
  <c r="D164" i="6" s="1"/>
  <c r="CY133" i="3"/>
  <c r="D160" i="6" s="1"/>
  <c r="DC124" i="3"/>
  <c r="H151" i="6" s="1"/>
  <c r="DA122" i="3"/>
  <c r="F149" i="6" s="1"/>
  <c r="CY133" i="4"/>
  <c r="L160" i="6" s="1"/>
  <c r="CY128" i="4"/>
  <c r="L155" i="6" s="1"/>
  <c r="DB133" i="3"/>
  <c r="G160" i="6" s="1"/>
  <c r="CY131" i="3"/>
  <c r="D158" i="6" s="1"/>
  <c r="DA124" i="3"/>
  <c r="F151" i="6" s="1"/>
  <c r="CY132" i="4"/>
  <c r="L159" i="6" s="1"/>
  <c r="DA135" i="4"/>
  <c r="N162" i="6" s="1"/>
  <c r="CY116" i="4"/>
  <c r="L143" i="6" s="1"/>
  <c r="CY138" i="3"/>
  <c r="D165" i="6" s="1"/>
  <c r="DB128" i="3"/>
  <c r="G155" i="6" s="1"/>
  <c r="CY126" i="3"/>
  <c r="D153" i="6" s="1"/>
  <c r="DA136" i="4"/>
  <c r="N163" i="6" s="1"/>
  <c r="CY123" i="4"/>
  <c r="L150" i="6" s="1"/>
  <c r="DC117" i="4"/>
  <c r="P144" i="6" s="1"/>
  <c r="DA138" i="4"/>
  <c r="N165" i="6" s="1"/>
  <c r="CY122" i="4"/>
  <c r="L149" i="6" s="1"/>
  <c r="DB115" i="3"/>
  <c r="G142" i="6" s="1"/>
  <c r="DC135" i="3"/>
  <c r="H162" i="6" s="1"/>
  <c r="DB134" i="3"/>
  <c r="G161" i="6" s="1"/>
  <c r="DA133" i="3"/>
  <c r="F160" i="6" s="1"/>
  <c r="CY132" i="3"/>
  <c r="D159" i="6" s="1"/>
  <c r="DC119" i="3"/>
  <c r="H146" i="6" s="1"/>
  <c r="DB118" i="3"/>
  <c r="G145" i="6" s="1"/>
  <c r="CZ138" i="4"/>
  <c r="M165" i="6" s="1"/>
  <c r="DC135" i="4"/>
  <c r="P162" i="6" s="1"/>
  <c r="DB121" i="4"/>
  <c r="O148" i="6" s="1"/>
  <c r="CZ135" i="3"/>
  <c r="E162" i="6" s="1"/>
  <c r="CZ131" i="3"/>
  <c r="E158" i="6" s="1"/>
  <c r="CZ127" i="3"/>
  <c r="E154" i="6" s="1"/>
  <c r="CZ123" i="3"/>
  <c r="E150" i="6" s="1"/>
  <c r="CZ119" i="3"/>
  <c r="E146" i="6" s="1"/>
  <c r="DA137" i="4"/>
  <c r="N164" i="6" s="1"/>
  <c r="CZ136" i="4"/>
  <c r="M163" i="6" s="1"/>
  <c r="DC129" i="4"/>
  <c r="P156" i="6" s="1"/>
  <c r="DB127" i="4"/>
  <c r="O154" i="6" s="1"/>
  <c r="CY125" i="4"/>
  <c r="L152" i="6" s="1"/>
  <c r="DB137" i="4"/>
  <c r="O164" i="6" s="1"/>
  <c r="DB133" i="4"/>
  <c r="O160" i="6" s="1"/>
  <c r="DB126" i="4"/>
  <c r="O153" i="6" s="1"/>
  <c r="DB118" i="4"/>
  <c r="O145" i="6" s="1"/>
  <c r="DA132" i="4"/>
  <c r="N159" i="6" s="1"/>
  <c r="DA128" i="4"/>
  <c r="N155" i="6" s="1"/>
  <c r="DA124" i="4"/>
  <c r="N151" i="6" s="1"/>
  <c r="DA120" i="4"/>
  <c r="N147" i="6" s="1"/>
  <c r="DA116" i="4"/>
  <c r="N143" i="6" s="1"/>
  <c r="CZ129" i="4"/>
  <c r="M156" i="6" s="1"/>
  <c r="CZ125" i="4"/>
  <c r="M152" i="6" s="1"/>
  <c r="CZ121" i="4"/>
  <c r="M148" i="6" s="1"/>
  <c r="CZ117" i="4"/>
  <c r="M144" i="6" s="1"/>
  <c r="AN17" i="5"/>
  <c r="I23" i="6" s="1"/>
  <c r="AN14" i="5"/>
  <c r="AI17" i="5"/>
  <c r="I21" i="6" s="1"/>
  <c r="AI14" i="5"/>
  <c r="AI44" i="5"/>
  <c r="D54" i="5"/>
  <c r="C8" i="5"/>
  <c r="E18" i="5" s="1"/>
  <c r="G205" i="6"/>
  <c r="D5" i="4"/>
  <c r="D5" i="3"/>
  <c r="A10" i="4"/>
  <c r="A117" i="4" s="1"/>
  <c r="A224" i="4" s="1"/>
  <c r="A331" i="4" s="1"/>
  <c r="A438" i="4" s="1"/>
  <c r="A545" i="4" s="1"/>
  <c r="A652" i="4" s="1"/>
  <c r="A10" i="3"/>
  <c r="O45" i="6"/>
  <c r="L60" i="6" s="1"/>
  <c r="L119" i="6" s="1"/>
  <c r="L186" i="6" s="1"/>
  <c r="O46" i="6"/>
  <c r="O48" i="6"/>
  <c r="O49" i="6"/>
  <c r="E5" i="6"/>
  <c r="E6" i="6" s="1"/>
  <c r="E7" i="6"/>
  <c r="K39" i="6"/>
  <c r="K38" i="6"/>
  <c r="C36" i="6"/>
  <c r="K36" i="6" s="1"/>
  <c r="C35" i="6"/>
  <c r="K35" i="6" s="1"/>
  <c r="BR141" i="4"/>
  <c r="BR141" i="3"/>
  <c r="BI141" i="4"/>
  <c r="BI141" i="3"/>
  <c r="AZ141" i="4"/>
  <c r="AZ141" i="3"/>
  <c r="AS141" i="4"/>
  <c r="AS141" i="3"/>
  <c r="E3" i="6"/>
  <c r="C33" i="6"/>
  <c r="K33" i="6" s="1"/>
  <c r="M141" i="6"/>
  <c r="N141" i="6"/>
  <c r="O141" i="6"/>
  <c r="P141" i="6"/>
  <c r="Q141" i="6"/>
  <c r="L141" i="6"/>
  <c r="CD12" i="4"/>
  <c r="CD13" i="4"/>
  <c r="CD14" i="4"/>
  <c r="CD15" i="4"/>
  <c r="CD16" i="4"/>
  <c r="CD17" i="4"/>
  <c r="CD18" i="4"/>
  <c r="CD19" i="4"/>
  <c r="CD20" i="4"/>
  <c r="CD21" i="4"/>
  <c r="CD22" i="4"/>
  <c r="CD23" i="4"/>
  <c r="CD24" i="4"/>
  <c r="CD25" i="4"/>
  <c r="CD26" i="4"/>
  <c r="CD27" i="4"/>
  <c r="CD28" i="4"/>
  <c r="CD29" i="4"/>
  <c r="CD30" i="4"/>
  <c r="CD31" i="4"/>
  <c r="CD32" i="4"/>
  <c r="CD33" i="4"/>
  <c r="CD34" i="4"/>
  <c r="CD35" i="4"/>
  <c r="CD36" i="4"/>
  <c r="CD37" i="4"/>
  <c r="CD38" i="4"/>
  <c r="CD39" i="4"/>
  <c r="CD40" i="4"/>
  <c r="CD41" i="4"/>
  <c r="CD42" i="4"/>
  <c r="CD43" i="4"/>
  <c r="CD44" i="4"/>
  <c r="CD45" i="4"/>
  <c r="CD46" i="4"/>
  <c r="CD47" i="4"/>
  <c r="CD48" i="4"/>
  <c r="CD49" i="4"/>
  <c r="CD50" i="4"/>
  <c r="CD51" i="4"/>
  <c r="CD52" i="4"/>
  <c r="CD53" i="4"/>
  <c r="CD54" i="4"/>
  <c r="CD55" i="4"/>
  <c r="CD56" i="4"/>
  <c r="CD57" i="4"/>
  <c r="CD58" i="4"/>
  <c r="CD59" i="4"/>
  <c r="CD60" i="4"/>
  <c r="CD61" i="4"/>
  <c r="CD62" i="4"/>
  <c r="CD63" i="4"/>
  <c r="CD64" i="4"/>
  <c r="CD65" i="4"/>
  <c r="CD66" i="4"/>
  <c r="CD67" i="4"/>
  <c r="CD68" i="4"/>
  <c r="CD69" i="4"/>
  <c r="CD70" i="4"/>
  <c r="CD71" i="4"/>
  <c r="CD72" i="4"/>
  <c r="CD73" i="4"/>
  <c r="CD74" i="4"/>
  <c r="CD75" i="4"/>
  <c r="CD76" i="4"/>
  <c r="CD77" i="4"/>
  <c r="CD78" i="4"/>
  <c r="CD79" i="4"/>
  <c r="CD80" i="4"/>
  <c r="CD81" i="4"/>
  <c r="CD82" i="4"/>
  <c r="CD83" i="4"/>
  <c r="CD84" i="4"/>
  <c r="CD85" i="4"/>
  <c r="CD86" i="4"/>
  <c r="CD87" i="4"/>
  <c r="CD88" i="4"/>
  <c r="CD89" i="4"/>
  <c r="CD90" i="4"/>
  <c r="CD91" i="4"/>
  <c r="CD92" i="4"/>
  <c r="CD93" i="4"/>
  <c r="CD94" i="4"/>
  <c r="CD95" i="4"/>
  <c r="CD96" i="4"/>
  <c r="CD97" i="4"/>
  <c r="CD98" i="4"/>
  <c r="CD99" i="4"/>
  <c r="CD100" i="4"/>
  <c r="CD101" i="4"/>
  <c r="CD102" i="4"/>
  <c r="CD103" i="4"/>
  <c r="CD104" i="4"/>
  <c r="CD105" i="4"/>
  <c r="CD106" i="4"/>
  <c r="CD12" i="3"/>
  <c r="CD13" i="3"/>
  <c r="CD14" i="3"/>
  <c r="CD15" i="3"/>
  <c r="CD16" i="3"/>
  <c r="CD17" i="3"/>
  <c r="CD18" i="3"/>
  <c r="CD19" i="3"/>
  <c r="CD20" i="3"/>
  <c r="CD21" i="3"/>
  <c r="CD22" i="3"/>
  <c r="CD23" i="3"/>
  <c r="CD24" i="3"/>
  <c r="CD25" i="3"/>
  <c r="CD26" i="3"/>
  <c r="CD27" i="3"/>
  <c r="CD28" i="3"/>
  <c r="CD29" i="3"/>
  <c r="CD30" i="3"/>
  <c r="CD31" i="3"/>
  <c r="CD32" i="3"/>
  <c r="CD33" i="3"/>
  <c r="CD34" i="3"/>
  <c r="CD35" i="3"/>
  <c r="CD36" i="3"/>
  <c r="CD37" i="3"/>
  <c r="CD38" i="3"/>
  <c r="CD39" i="3"/>
  <c r="CD40" i="3"/>
  <c r="CD41" i="3"/>
  <c r="CD42" i="3"/>
  <c r="CD43" i="3"/>
  <c r="CD44" i="3"/>
  <c r="CD45" i="3"/>
  <c r="CD46" i="3"/>
  <c r="CD47" i="3"/>
  <c r="CD48" i="3"/>
  <c r="CD49" i="3"/>
  <c r="CD50" i="3"/>
  <c r="CD51" i="3"/>
  <c r="CD52" i="3"/>
  <c r="CD53" i="3"/>
  <c r="CD54" i="3"/>
  <c r="CD55" i="3"/>
  <c r="CD56" i="3"/>
  <c r="CD57" i="3"/>
  <c r="CD58" i="3"/>
  <c r="CD59" i="3"/>
  <c r="CD60" i="3"/>
  <c r="CD61" i="3"/>
  <c r="CD62" i="3"/>
  <c r="CD63" i="3"/>
  <c r="CD64" i="3"/>
  <c r="CD65" i="3"/>
  <c r="CD66" i="3"/>
  <c r="CD67" i="3"/>
  <c r="CD68" i="3"/>
  <c r="CD69" i="3"/>
  <c r="CD70" i="3"/>
  <c r="CD71" i="3"/>
  <c r="CD72" i="3"/>
  <c r="CD73" i="3"/>
  <c r="CD74" i="3"/>
  <c r="CD75" i="3"/>
  <c r="CD76" i="3"/>
  <c r="CD77" i="3"/>
  <c r="CD78" i="3"/>
  <c r="CD79" i="3"/>
  <c r="CD80" i="3"/>
  <c r="CD81" i="3"/>
  <c r="CD82" i="3"/>
  <c r="CD83" i="3"/>
  <c r="CD84" i="3"/>
  <c r="CD85" i="3"/>
  <c r="CD86" i="3"/>
  <c r="CD87" i="3"/>
  <c r="CD88" i="3"/>
  <c r="CD89" i="3"/>
  <c r="CD90" i="3"/>
  <c r="CD91" i="3"/>
  <c r="CD92" i="3"/>
  <c r="CD93" i="3"/>
  <c r="CD94" i="3"/>
  <c r="CD95" i="3"/>
  <c r="CD96" i="3"/>
  <c r="CD97" i="3"/>
  <c r="CD98" i="3"/>
  <c r="CD99" i="3"/>
  <c r="CD100" i="3"/>
  <c r="CD101" i="3"/>
  <c r="CD102" i="3"/>
  <c r="CD103" i="3"/>
  <c r="CD104" i="3"/>
  <c r="CD105" i="3"/>
  <c r="CD106" i="3"/>
  <c r="CD11" i="4"/>
  <c r="CD11" i="3"/>
  <c r="AZ110" i="3"/>
  <c r="CE12" i="4"/>
  <c r="CF12" i="4"/>
  <c r="CG12" i="4"/>
  <c r="CH12" i="4"/>
  <c r="CI12" i="4"/>
  <c r="CJ12" i="4"/>
  <c r="CE13" i="4"/>
  <c r="CF13" i="4"/>
  <c r="CG13" i="4"/>
  <c r="CH13" i="4"/>
  <c r="CI13" i="4"/>
  <c r="CJ13" i="4"/>
  <c r="CE14" i="4"/>
  <c r="CF14" i="4"/>
  <c r="CG14" i="4"/>
  <c r="CH14" i="4"/>
  <c r="CI14" i="4"/>
  <c r="CJ14" i="4"/>
  <c r="CE15" i="4"/>
  <c r="CF15" i="4"/>
  <c r="CG15" i="4"/>
  <c r="CH15" i="4"/>
  <c r="CI15" i="4"/>
  <c r="CJ15" i="4"/>
  <c r="CE16" i="4"/>
  <c r="CF16" i="4"/>
  <c r="CG16" i="4"/>
  <c r="CH16" i="4"/>
  <c r="CI16" i="4"/>
  <c r="CJ16" i="4"/>
  <c r="CE17" i="4"/>
  <c r="CF17" i="4"/>
  <c r="CG17" i="4"/>
  <c r="CH17" i="4"/>
  <c r="CI17" i="4"/>
  <c r="CJ17" i="4"/>
  <c r="CE18" i="4"/>
  <c r="CF18" i="4"/>
  <c r="CG18" i="4"/>
  <c r="CH18" i="4"/>
  <c r="CI18" i="4"/>
  <c r="CJ18" i="4"/>
  <c r="CE19" i="4"/>
  <c r="CF19" i="4"/>
  <c r="CG19" i="4"/>
  <c r="CH19" i="4"/>
  <c r="CI19" i="4"/>
  <c r="CJ19" i="4"/>
  <c r="CE20" i="4"/>
  <c r="CF20" i="4"/>
  <c r="CG20" i="4"/>
  <c r="CH20" i="4"/>
  <c r="CI20" i="4"/>
  <c r="CJ20" i="4"/>
  <c r="CE21" i="4"/>
  <c r="CF21" i="4"/>
  <c r="CG21" i="4"/>
  <c r="CH21" i="4"/>
  <c r="CI21" i="4"/>
  <c r="CJ21" i="4"/>
  <c r="CE22" i="4"/>
  <c r="CF22" i="4"/>
  <c r="CG22" i="4"/>
  <c r="CH22" i="4"/>
  <c r="CI22" i="4"/>
  <c r="CJ22" i="4"/>
  <c r="CE23" i="4"/>
  <c r="CF23" i="4"/>
  <c r="CG23" i="4"/>
  <c r="CH23" i="4"/>
  <c r="CI23" i="4"/>
  <c r="CJ23" i="4"/>
  <c r="CE24" i="4"/>
  <c r="CF24" i="4"/>
  <c r="CG24" i="4"/>
  <c r="CH24" i="4"/>
  <c r="CI24" i="4"/>
  <c r="CJ24" i="4"/>
  <c r="CE25" i="4"/>
  <c r="CF25" i="4"/>
  <c r="CG25" i="4"/>
  <c r="CH25" i="4"/>
  <c r="CI25" i="4"/>
  <c r="CJ25" i="4"/>
  <c r="CE26" i="4"/>
  <c r="CF26" i="4"/>
  <c r="CG26" i="4"/>
  <c r="CH26" i="4"/>
  <c r="CI26" i="4"/>
  <c r="CJ26" i="4"/>
  <c r="CE27" i="4"/>
  <c r="CF27" i="4"/>
  <c r="CG27" i="4"/>
  <c r="CH27" i="4"/>
  <c r="CI27" i="4"/>
  <c r="CJ27" i="4"/>
  <c r="CE28" i="4"/>
  <c r="CF28" i="4"/>
  <c r="CG28" i="4"/>
  <c r="CH28" i="4"/>
  <c r="CI28" i="4"/>
  <c r="CJ28" i="4"/>
  <c r="CE29" i="4"/>
  <c r="CF29" i="4"/>
  <c r="CG29" i="4"/>
  <c r="CH29" i="4"/>
  <c r="CI29" i="4"/>
  <c r="CJ29" i="4"/>
  <c r="CE30" i="4"/>
  <c r="CF30" i="4"/>
  <c r="CG30" i="4"/>
  <c r="CH30" i="4"/>
  <c r="CI30" i="4"/>
  <c r="CJ30" i="4"/>
  <c r="CE31" i="4"/>
  <c r="CF31" i="4"/>
  <c r="CG31" i="4"/>
  <c r="CH31" i="4"/>
  <c r="CI31" i="4"/>
  <c r="CJ31" i="4"/>
  <c r="CE32" i="4"/>
  <c r="CF32" i="4"/>
  <c r="CG32" i="4"/>
  <c r="CH32" i="4"/>
  <c r="CI32" i="4"/>
  <c r="CJ32" i="4"/>
  <c r="CE33" i="4"/>
  <c r="CF33" i="4"/>
  <c r="CG33" i="4"/>
  <c r="CH33" i="4"/>
  <c r="CI33" i="4"/>
  <c r="CJ33" i="4"/>
  <c r="CE34" i="4"/>
  <c r="CF34" i="4"/>
  <c r="CG34" i="4"/>
  <c r="CH34" i="4"/>
  <c r="CI34" i="4"/>
  <c r="CJ34" i="4"/>
  <c r="CE35" i="4"/>
  <c r="CF35" i="4"/>
  <c r="CG35" i="4"/>
  <c r="CH35" i="4"/>
  <c r="CI35" i="4"/>
  <c r="CJ35" i="4"/>
  <c r="CE36" i="4"/>
  <c r="CF36" i="4"/>
  <c r="CG36" i="4"/>
  <c r="CH36" i="4"/>
  <c r="CI36" i="4"/>
  <c r="CJ36" i="4"/>
  <c r="CE37" i="4"/>
  <c r="CF37" i="4"/>
  <c r="CG37" i="4"/>
  <c r="CH37" i="4"/>
  <c r="CI37" i="4"/>
  <c r="CJ37" i="4"/>
  <c r="CE38" i="4"/>
  <c r="CF38" i="4"/>
  <c r="CG38" i="4"/>
  <c r="CH38" i="4"/>
  <c r="CI38" i="4"/>
  <c r="CJ38" i="4"/>
  <c r="CE39" i="4"/>
  <c r="CF39" i="4"/>
  <c r="CG39" i="4"/>
  <c r="CH39" i="4"/>
  <c r="CI39" i="4"/>
  <c r="CJ39" i="4"/>
  <c r="CE40" i="4"/>
  <c r="CF40" i="4"/>
  <c r="CG40" i="4"/>
  <c r="CH40" i="4"/>
  <c r="CI40" i="4"/>
  <c r="CJ40" i="4"/>
  <c r="CE41" i="4"/>
  <c r="CF41" i="4"/>
  <c r="CG41" i="4"/>
  <c r="CH41" i="4"/>
  <c r="CI41" i="4"/>
  <c r="CJ41" i="4"/>
  <c r="CE42" i="4"/>
  <c r="CF42" i="4"/>
  <c r="CG42" i="4"/>
  <c r="CH42" i="4"/>
  <c r="CI42" i="4"/>
  <c r="CJ42" i="4"/>
  <c r="CE43" i="4"/>
  <c r="CF43" i="4"/>
  <c r="CG43" i="4"/>
  <c r="CH43" i="4"/>
  <c r="CI43" i="4"/>
  <c r="CJ43" i="4"/>
  <c r="CE44" i="4"/>
  <c r="CF44" i="4"/>
  <c r="CG44" i="4"/>
  <c r="CH44" i="4"/>
  <c r="CI44" i="4"/>
  <c r="CJ44" i="4"/>
  <c r="CE45" i="4"/>
  <c r="CF45" i="4"/>
  <c r="CG45" i="4"/>
  <c r="CH45" i="4"/>
  <c r="CI45" i="4"/>
  <c r="CJ45" i="4"/>
  <c r="CE46" i="4"/>
  <c r="CF46" i="4"/>
  <c r="CG46" i="4"/>
  <c r="CH46" i="4"/>
  <c r="CI46" i="4"/>
  <c r="CJ46" i="4"/>
  <c r="CE47" i="4"/>
  <c r="CF47" i="4"/>
  <c r="CG47" i="4"/>
  <c r="CH47" i="4"/>
  <c r="CI47" i="4"/>
  <c r="CJ47" i="4"/>
  <c r="CE48" i="4"/>
  <c r="CF48" i="4"/>
  <c r="CG48" i="4"/>
  <c r="CH48" i="4"/>
  <c r="CI48" i="4"/>
  <c r="CJ48" i="4"/>
  <c r="CE49" i="4"/>
  <c r="CF49" i="4"/>
  <c r="CG49" i="4"/>
  <c r="CH49" i="4"/>
  <c r="CI49" i="4"/>
  <c r="CJ49" i="4"/>
  <c r="CE50" i="4"/>
  <c r="CF50" i="4"/>
  <c r="CG50" i="4"/>
  <c r="CH50" i="4"/>
  <c r="CI50" i="4"/>
  <c r="CJ50" i="4"/>
  <c r="CE51" i="4"/>
  <c r="CF51" i="4"/>
  <c r="CG51" i="4"/>
  <c r="CH51" i="4"/>
  <c r="CI51" i="4"/>
  <c r="CJ51" i="4"/>
  <c r="CE52" i="4"/>
  <c r="CF52" i="4"/>
  <c r="CG52" i="4"/>
  <c r="CH52" i="4"/>
  <c r="CI52" i="4"/>
  <c r="CJ52" i="4"/>
  <c r="CE53" i="4"/>
  <c r="CF53" i="4"/>
  <c r="CG53" i="4"/>
  <c r="CH53" i="4"/>
  <c r="CI53" i="4"/>
  <c r="CJ53" i="4"/>
  <c r="CE54" i="4"/>
  <c r="CF54" i="4"/>
  <c r="CG54" i="4"/>
  <c r="CH54" i="4"/>
  <c r="CI54" i="4"/>
  <c r="CJ54" i="4"/>
  <c r="CE55" i="4"/>
  <c r="CF55" i="4"/>
  <c r="CG55" i="4"/>
  <c r="CH55" i="4"/>
  <c r="CI55" i="4"/>
  <c r="CJ55" i="4"/>
  <c r="CE56" i="4"/>
  <c r="CF56" i="4"/>
  <c r="CG56" i="4"/>
  <c r="CH56" i="4"/>
  <c r="CI56" i="4"/>
  <c r="CJ56" i="4"/>
  <c r="CE57" i="4"/>
  <c r="CF57" i="4"/>
  <c r="CG57" i="4"/>
  <c r="CH57" i="4"/>
  <c r="CI57" i="4"/>
  <c r="CJ57" i="4"/>
  <c r="CE58" i="4"/>
  <c r="CF58" i="4"/>
  <c r="CG58" i="4"/>
  <c r="CH58" i="4"/>
  <c r="CI58" i="4"/>
  <c r="CJ58" i="4"/>
  <c r="CE59" i="4"/>
  <c r="CF59" i="4"/>
  <c r="CG59" i="4"/>
  <c r="CH59" i="4"/>
  <c r="CI59" i="4"/>
  <c r="CJ59" i="4"/>
  <c r="CE60" i="4"/>
  <c r="CF60" i="4"/>
  <c r="CG60" i="4"/>
  <c r="CH60" i="4"/>
  <c r="CI60" i="4"/>
  <c r="CJ60" i="4"/>
  <c r="CE61" i="4"/>
  <c r="CF61" i="4"/>
  <c r="CG61" i="4"/>
  <c r="CH61" i="4"/>
  <c r="CI61" i="4"/>
  <c r="CJ61" i="4"/>
  <c r="CE62" i="4"/>
  <c r="CF62" i="4"/>
  <c r="CG62" i="4"/>
  <c r="CH62" i="4"/>
  <c r="CI62" i="4"/>
  <c r="CJ62" i="4"/>
  <c r="CE63" i="4"/>
  <c r="CF63" i="4"/>
  <c r="CG63" i="4"/>
  <c r="CH63" i="4"/>
  <c r="CI63" i="4"/>
  <c r="CJ63" i="4"/>
  <c r="CE64" i="4"/>
  <c r="CF64" i="4"/>
  <c r="CG64" i="4"/>
  <c r="CH64" i="4"/>
  <c r="CI64" i="4"/>
  <c r="CJ64" i="4"/>
  <c r="CE65" i="4"/>
  <c r="CF65" i="4"/>
  <c r="CG65" i="4"/>
  <c r="CH65" i="4"/>
  <c r="CI65" i="4"/>
  <c r="CJ65" i="4"/>
  <c r="CE66" i="4"/>
  <c r="CF66" i="4"/>
  <c r="CG66" i="4"/>
  <c r="CH66" i="4"/>
  <c r="CI66" i="4"/>
  <c r="CJ66" i="4"/>
  <c r="CE67" i="4"/>
  <c r="CF67" i="4"/>
  <c r="CG67" i="4"/>
  <c r="CH67" i="4"/>
  <c r="CI67" i="4"/>
  <c r="CJ67" i="4"/>
  <c r="CE68" i="4"/>
  <c r="CF68" i="4"/>
  <c r="CG68" i="4"/>
  <c r="CH68" i="4"/>
  <c r="CI68" i="4"/>
  <c r="CJ68" i="4"/>
  <c r="CE69" i="4"/>
  <c r="CF69" i="4"/>
  <c r="CG69" i="4"/>
  <c r="CH69" i="4"/>
  <c r="CI69" i="4"/>
  <c r="CJ69" i="4"/>
  <c r="CE70" i="4"/>
  <c r="CF70" i="4"/>
  <c r="CG70" i="4"/>
  <c r="CH70" i="4"/>
  <c r="CI70" i="4"/>
  <c r="CJ70" i="4"/>
  <c r="CE71" i="4"/>
  <c r="CF71" i="4"/>
  <c r="CG71" i="4"/>
  <c r="CH71" i="4"/>
  <c r="CI71" i="4"/>
  <c r="CJ71" i="4"/>
  <c r="CE72" i="4"/>
  <c r="CF72" i="4"/>
  <c r="CG72" i="4"/>
  <c r="CH72" i="4"/>
  <c r="CI72" i="4"/>
  <c r="CJ72" i="4"/>
  <c r="CE73" i="4"/>
  <c r="CF73" i="4"/>
  <c r="CG73" i="4"/>
  <c r="CH73" i="4"/>
  <c r="CI73" i="4"/>
  <c r="CJ73" i="4"/>
  <c r="CE74" i="4"/>
  <c r="CF74" i="4"/>
  <c r="CG74" i="4"/>
  <c r="CH74" i="4"/>
  <c r="CI74" i="4"/>
  <c r="CJ74" i="4"/>
  <c r="CE75" i="4"/>
  <c r="CF75" i="4"/>
  <c r="CG75" i="4"/>
  <c r="CH75" i="4"/>
  <c r="CI75" i="4"/>
  <c r="CJ75" i="4"/>
  <c r="CE76" i="4"/>
  <c r="CF76" i="4"/>
  <c r="CG76" i="4"/>
  <c r="CH76" i="4"/>
  <c r="CI76" i="4"/>
  <c r="CJ76" i="4"/>
  <c r="CE77" i="4"/>
  <c r="CF77" i="4"/>
  <c r="CG77" i="4"/>
  <c r="CH77" i="4"/>
  <c r="CI77" i="4"/>
  <c r="CJ77" i="4"/>
  <c r="CE78" i="4"/>
  <c r="CF78" i="4"/>
  <c r="CG78" i="4"/>
  <c r="CH78" i="4"/>
  <c r="CI78" i="4"/>
  <c r="CJ78" i="4"/>
  <c r="CE79" i="4"/>
  <c r="CF79" i="4"/>
  <c r="CG79" i="4"/>
  <c r="CH79" i="4"/>
  <c r="CI79" i="4"/>
  <c r="CJ79" i="4"/>
  <c r="CE80" i="4"/>
  <c r="CF80" i="4"/>
  <c r="CG80" i="4"/>
  <c r="CH80" i="4"/>
  <c r="CI80" i="4"/>
  <c r="CJ80" i="4"/>
  <c r="CE81" i="4"/>
  <c r="CF81" i="4"/>
  <c r="CG81" i="4"/>
  <c r="CH81" i="4"/>
  <c r="CI81" i="4"/>
  <c r="CJ81" i="4"/>
  <c r="CE82" i="4"/>
  <c r="CF82" i="4"/>
  <c r="CG82" i="4"/>
  <c r="CH82" i="4"/>
  <c r="CI82" i="4"/>
  <c r="CJ82" i="4"/>
  <c r="CE83" i="4"/>
  <c r="CF83" i="4"/>
  <c r="CG83" i="4"/>
  <c r="CH83" i="4"/>
  <c r="CI83" i="4"/>
  <c r="CJ83" i="4"/>
  <c r="CE84" i="4"/>
  <c r="CF84" i="4"/>
  <c r="CG84" i="4"/>
  <c r="CH84" i="4"/>
  <c r="CI84" i="4"/>
  <c r="CJ84" i="4"/>
  <c r="CE85" i="4"/>
  <c r="CF85" i="4"/>
  <c r="CG85" i="4"/>
  <c r="CH85" i="4"/>
  <c r="CI85" i="4"/>
  <c r="CJ85" i="4"/>
  <c r="CE86" i="4"/>
  <c r="CF86" i="4"/>
  <c r="CG86" i="4"/>
  <c r="CH86" i="4"/>
  <c r="CI86" i="4"/>
  <c r="CJ86" i="4"/>
  <c r="CE87" i="4"/>
  <c r="CF87" i="4"/>
  <c r="CG87" i="4"/>
  <c r="CH87" i="4"/>
  <c r="CI87" i="4"/>
  <c r="CJ87" i="4"/>
  <c r="CE88" i="4"/>
  <c r="CF88" i="4"/>
  <c r="CG88" i="4"/>
  <c r="CH88" i="4"/>
  <c r="CI88" i="4"/>
  <c r="CJ88" i="4"/>
  <c r="CE89" i="4"/>
  <c r="CF89" i="4"/>
  <c r="CG89" i="4"/>
  <c r="CH89" i="4"/>
  <c r="CI89" i="4"/>
  <c r="CJ89" i="4"/>
  <c r="CE90" i="4"/>
  <c r="CF90" i="4"/>
  <c r="CG90" i="4"/>
  <c r="CH90" i="4"/>
  <c r="CI90" i="4"/>
  <c r="CJ90" i="4"/>
  <c r="CE91" i="4"/>
  <c r="CF91" i="4"/>
  <c r="CG91" i="4"/>
  <c r="CH91" i="4"/>
  <c r="CI91" i="4"/>
  <c r="CJ91" i="4"/>
  <c r="CE92" i="4"/>
  <c r="CF92" i="4"/>
  <c r="CG92" i="4"/>
  <c r="CH92" i="4"/>
  <c r="CI92" i="4"/>
  <c r="CJ92" i="4"/>
  <c r="CE93" i="4"/>
  <c r="CF93" i="4"/>
  <c r="CG93" i="4"/>
  <c r="CH93" i="4"/>
  <c r="CI93" i="4"/>
  <c r="CJ93" i="4"/>
  <c r="CE94" i="4"/>
  <c r="CF94" i="4"/>
  <c r="CG94" i="4"/>
  <c r="CH94" i="4"/>
  <c r="CI94" i="4"/>
  <c r="CJ94" i="4"/>
  <c r="CE95" i="4"/>
  <c r="CF95" i="4"/>
  <c r="CG95" i="4"/>
  <c r="CH95" i="4"/>
  <c r="CI95" i="4"/>
  <c r="CJ95" i="4"/>
  <c r="CE96" i="4"/>
  <c r="CF96" i="4"/>
  <c r="CG96" i="4"/>
  <c r="CH96" i="4"/>
  <c r="CI96" i="4"/>
  <c r="CJ96" i="4"/>
  <c r="CE97" i="4"/>
  <c r="CF97" i="4"/>
  <c r="CG97" i="4"/>
  <c r="CH97" i="4"/>
  <c r="CI97" i="4"/>
  <c r="CJ97" i="4"/>
  <c r="CE98" i="4"/>
  <c r="CF98" i="4"/>
  <c r="CG98" i="4"/>
  <c r="CH98" i="4"/>
  <c r="CI98" i="4"/>
  <c r="CJ98" i="4"/>
  <c r="CE99" i="4"/>
  <c r="CF99" i="4"/>
  <c r="CG99" i="4"/>
  <c r="CH99" i="4"/>
  <c r="CI99" i="4"/>
  <c r="CJ99" i="4"/>
  <c r="CE100" i="4"/>
  <c r="CF100" i="4"/>
  <c r="CG100" i="4"/>
  <c r="CH100" i="4"/>
  <c r="CI100" i="4"/>
  <c r="CJ100" i="4"/>
  <c r="CE101" i="4"/>
  <c r="CF101" i="4"/>
  <c r="CG101" i="4"/>
  <c r="CH101" i="4"/>
  <c r="CI101" i="4"/>
  <c r="CJ101" i="4"/>
  <c r="CE102" i="4"/>
  <c r="CF102" i="4"/>
  <c r="CG102" i="4"/>
  <c r="CH102" i="4"/>
  <c r="CI102" i="4"/>
  <c r="CJ102" i="4"/>
  <c r="CE103" i="4"/>
  <c r="CF103" i="4"/>
  <c r="CG103" i="4"/>
  <c r="CH103" i="4"/>
  <c r="CI103" i="4"/>
  <c r="CJ103" i="4"/>
  <c r="CE104" i="4"/>
  <c r="CF104" i="4"/>
  <c r="CG104" i="4"/>
  <c r="CH104" i="4"/>
  <c r="CI104" i="4"/>
  <c r="CJ104" i="4"/>
  <c r="CE105" i="4"/>
  <c r="CF105" i="4"/>
  <c r="CG105" i="4"/>
  <c r="CH105" i="4"/>
  <c r="CI105" i="4"/>
  <c r="CJ105" i="4"/>
  <c r="CE106" i="4"/>
  <c r="CF106" i="4"/>
  <c r="CG106" i="4"/>
  <c r="CH106" i="4"/>
  <c r="CI106" i="4"/>
  <c r="CJ106" i="4"/>
  <c r="CE12" i="3"/>
  <c r="CF12" i="3"/>
  <c r="CG12" i="3"/>
  <c r="CH12" i="3"/>
  <c r="CI12" i="3"/>
  <c r="CJ12" i="3"/>
  <c r="CE13" i="3"/>
  <c r="CF13" i="3"/>
  <c r="CG13" i="3"/>
  <c r="CH13" i="3"/>
  <c r="CI13" i="3"/>
  <c r="CJ13" i="3"/>
  <c r="CE14" i="3"/>
  <c r="CF14" i="3"/>
  <c r="CG14" i="3"/>
  <c r="CH14" i="3"/>
  <c r="CI14" i="3"/>
  <c r="CJ14" i="3"/>
  <c r="CE15" i="3"/>
  <c r="CF15" i="3"/>
  <c r="CG15" i="3"/>
  <c r="CH15" i="3"/>
  <c r="CI15" i="3"/>
  <c r="CJ15" i="3"/>
  <c r="CE16" i="3"/>
  <c r="CF16" i="3"/>
  <c r="CG16" i="3"/>
  <c r="CH16" i="3"/>
  <c r="CI16" i="3"/>
  <c r="CJ16" i="3"/>
  <c r="CE17" i="3"/>
  <c r="CF17" i="3"/>
  <c r="CG17" i="3"/>
  <c r="CH17" i="3"/>
  <c r="CI17" i="3"/>
  <c r="CJ17" i="3"/>
  <c r="CE18" i="3"/>
  <c r="CF18" i="3"/>
  <c r="CG18" i="3"/>
  <c r="CH18" i="3"/>
  <c r="CI18" i="3"/>
  <c r="CJ18" i="3"/>
  <c r="CE19" i="3"/>
  <c r="CF19" i="3"/>
  <c r="CG19" i="3"/>
  <c r="CH19" i="3"/>
  <c r="CI19" i="3"/>
  <c r="CJ19" i="3"/>
  <c r="CE20" i="3"/>
  <c r="CF20" i="3"/>
  <c r="CG20" i="3"/>
  <c r="CH20" i="3"/>
  <c r="CI20" i="3"/>
  <c r="CJ20" i="3"/>
  <c r="CE21" i="3"/>
  <c r="CF21" i="3"/>
  <c r="CG21" i="3"/>
  <c r="CH21" i="3"/>
  <c r="CI21" i="3"/>
  <c r="CJ21" i="3"/>
  <c r="CE22" i="3"/>
  <c r="CF22" i="3"/>
  <c r="CG22" i="3"/>
  <c r="CH22" i="3"/>
  <c r="CI22" i="3"/>
  <c r="CJ22" i="3"/>
  <c r="CE23" i="3"/>
  <c r="CF23" i="3"/>
  <c r="CG23" i="3"/>
  <c r="CH23" i="3"/>
  <c r="CI23" i="3"/>
  <c r="CJ23" i="3"/>
  <c r="CE24" i="3"/>
  <c r="CF24" i="3"/>
  <c r="CG24" i="3"/>
  <c r="CH24" i="3"/>
  <c r="CI24" i="3"/>
  <c r="CJ24" i="3"/>
  <c r="CE25" i="3"/>
  <c r="CF25" i="3"/>
  <c r="CG25" i="3"/>
  <c r="CH25" i="3"/>
  <c r="CI25" i="3"/>
  <c r="CJ25" i="3"/>
  <c r="CE26" i="3"/>
  <c r="CF26" i="3"/>
  <c r="CG26" i="3"/>
  <c r="CH26" i="3"/>
  <c r="CI26" i="3"/>
  <c r="CJ26" i="3"/>
  <c r="CE27" i="3"/>
  <c r="CF27" i="3"/>
  <c r="CG27" i="3"/>
  <c r="CH27" i="3"/>
  <c r="CI27" i="3"/>
  <c r="CJ27" i="3"/>
  <c r="CE28" i="3"/>
  <c r="CF28" i="3"/>
  <c r="CG28" i="3"/>
  <c r="CH28" i="3"/>
  <c r="CI28" i="3"/>
  <c r="CJ28" i="3"/>
  <c r="CE29" i="3"/>
  <c r="CF29" i="3"/>
  <c r="CG29" i="3"/>
  <c r="CH29" i="3"/>
  <c r="CI29" i="3"/>
  <c r="CJ29" i="3"/>
  <c r="CE30" i="3"/>
  <c r="CF30" i="3"/>
  <c r="CG30" i="3"/>
  <c r="CH30" i="3"/>
  <c r="CI30" i="3"/>
  <c r="CJ30" i="3"/>
  <c r="CE31" i="3"/>
  <c r="CF31" i="3"/>
  <c r="CG31" i="3"/>
  <c r="CH31" i="3"/>
  <c r="CI31" i="3"/>
  <c r="CJ31" i="3"/>
  <c r="CE32" i="3"/>
  <c r="CF32" i="3"/>
  <c r="CG32" i="3"/>
  <c r="CH32" i="3"/>
  <c r="CI32" i="3"/>
  <c r="CJ32" i="3"/>
  <c r="CE33" i="3"/>
  <c r="CF33" i="3"/>
  <c r="CG33" i="3"/>
  <c r="CH33" i="3"/>
  <c r="CI33" i="3"/>
  <c r="CJ33" i="3"/>
  <c r="CE34" i="3"/>
  <c r="CF34" i="3"/>
  <c r="CG34" i="3"/>
  <c r="CH34" i="3"/>
  <c r="CI34" i="3"/>
  <c r="CJ34" i="3"/>
  <c r="CE35" i="3"/>
  <c r="CF35" i="3"/>
  <c r="CG35" i="3"/>
  <c r="CH35" i="3"/>
  <c r="CI35" i="3"/>
  <c r="CJ35" i="3"/>
  <c r="CE36" i="3"/>
  <c r="CF36" i="3"/>
  <c r="CG36" i="3"/>
  <c r="CH36" i="3"/>
  <c r="CI36" i="3"/>
  <c r="CJ36" i="3"/>
  <c r="CE37" i="3"/>
  <c r="CF37" i="3"/>
  <c r="CG37" i="3"/>
  <c r="CH37" i="3"/>
  <c r="CI37" i="3"/>
  <c r="CJ37" i="3"/>
  <c r="CE38" i="3"/>
  <c r="CF38" i="3"/>
  <c r="CG38" i="3"/>
  <c r="CH38" i="3"/>
  <c r="CI38" i="3"/>
  <c r="CJ38" i="3"/>
  <c r="CE39" i="3"/>
  <c r="CF39" i="3"/>
  <c r="CG39" i="3"/>
  <c r="CH39" i="3"/>
  <c r="CI39" i="3"/>
  <c r="CJ39" i="3"/>
  <c r="CE40" i="3"/>
  <c r="CF40" i="3"/>
  <c r="CG40" i="3"/>
  <c r="CH40" i="3"/>
  <c r="CI40" i="3"/>
  <c r="CJ40" i="3"/>
  <c r="CE41" i="3"/>
  <c r="CF41" i="3"/>
  <c r="CG41" i="3"/>
  <c r="CH41" i="3"/>
  <c r="CI41" i="3"/>
  <c r="CJ41" i="3"/>
  <c r="CE42" i="3"/>
  <c r="CF42" i="3"/>
  <c r="CG42" i="3"/>
  <c r="CH42" i="3"/>
  <c r="CI42" i="3"/>
  <c r="CJ42" i="3"/>
  <c r="CE43" i="3"/>
  <c r="CF43" i="3"/>
  <c r="CG43" i="3"/>
  <c r="CH43" i="3"/>
  <c r="CI43" i="3"/>
  <c r="CJ43" i="3"/>
  <c r="CE44" i="3"/>
  <c r="CF44" i="3"/>
  <c r="CG44" i="3"/>
  <c r="CH44" i="3"/>
  <c r="CI44" i="3"/>
  <c r="CJ44" i="3"/>
  <c r="CE45" i="3"/>
  <c r="CF45" i="3"/>
  <c r="CG45" i="3"/>
  <c r="CH45" i="3"/>
  <c r="CI45" i="3"/>
  <c r="CJ45" i="3"/>
  <c r="CE46" i="3"/>
  <c r="CF46" i="3"/>
  <c r="CG46" i="3"/>
  <c r="CH46" i="3"/>
  <c r="CI46" i="3"/>
  <c r="CJ46" i="3"/>
  <c r="CE47" i="3"/>
  <c r="CF47" i="3"/>
  <c r="CG47" i="3"/>
  <c r="CH47" i="3"/>
  <c r="CI47" i="3"/>
  <c r="CJ47" i="3"/>
  <c r="CE48" i="3"/>
  <c r="CF48" i="3"/>
  <c r="CG48" i="3"/>
  <c r="CH48" i="3"/>
  <c r="CI48" i="3"/>
  <c r="CJ48" i="3"/>
  <c r="CE49" i="3"/>
  <c r="CF49" i="3"/>
  <c r="CG49" i="3"/>
  <c r="CH49" i="3"/>
  <c r="CI49" i="3"/>
  <c r="CJ49" i="3"/>
  <c r="CE50" i="3"/>
  <c r="CF50" i="3"/>
  <c r="CG50" i="3"/>
  <c r="CH50" i="3"/>
  <c r="CI50" i="3"/>
  <c r="CJ50" i="3"/>
  <c r="CE51" i="3"/>
  <c r="CF51" i="3"/>
  <c r="CG51" i="3"/>
  <c r="CH51" i="3"/>
  <c r="CI51" i="3"/>
  <c r="CJ51" i="3"/>
  <c r="CE52" i="3"/>
  <c r="CF52" i="3"/>
  <c r="CG52" i="3"/>
  <c r="CH52" i="3"/>
  <c r="CI52" i="3"/>
  <c r="CJ52" i="3"/>
  <c r="CE53" i="3"/>
  <c r="CF53" i="3"/>
  <c r="CG53" i="3"/>
  <c r="CH53" i="3"/>
  <c r="CI53" i="3"/>
  <c r="CJ53" i="3"/>
  <c r="CE54" i="3"/>
  <c r="CF54" i="3"/>
  <c r="CG54" i="3"/>
  <c r="CH54" i="3"/>
  <c r="CI54" i="3"/>
  <c r="CJ54" i="3"/>
  <c r="CE55" i="3"/>
  <c r="CF55" i="3"/>
  <c r="CG55" i="3"/>
  <c r="CH55" i="3"/>
  <c r="CI55" i="3"/>
  <c r="CJ55" i="3"/>
  <c r="CE56" i="3"/>
  <c r="CF56" i="3"/>
  <c r="CG56" i="3"/>
  <c r="CH56" i="3"/>
  <c r="CI56" i="3"/>
  <c r="CJ56" i="3"/>
  <c r="CE57" i="3"/>
  <c r="CF57" i="3"/>
  <c r="CG57" i="3"/>
  <c r="CH57" i="3"/>
  <c r="CI57" i="3"/>
  <c r="CJ57" i="3"/>
  <c r="CE58" i="3"/>
  <c r="CF58" i="3"/>
  <c r="CG58" i="3"/>
  <c r="CH58" i="3"/>
  <c r="CI58" i="3"/>
  <c r="CJ58" i="3"/>
  <c r="CE59" i="3"/>
  <c r="CF59" i="3"/>
  <c r="CG59" i="3"/>
  <c r="CH59" i="3"/>
  <c r="CI59" i="3"/>
  <c r="CJ59" i="3"/>
  <c r="CE60" i="3"/>
  <c r="CF60" i="3"/>
  <c r="CG60" i="3"/>
  <c r="CH60" i="3"/>
  <c r="CI60" i="3"/>
  <c r="CJ60" i="3"/>
  <c r="CE61" i="3"/>
  <c r="CF61" i="3"/>
  <c r="CG61" i="3"/>
  <c r="CH61" i="3"/>
  <c r="CI61" i="3"/>
  <c r="CJ61" i="3"/>
  <c r="CE62" i="3"/>
  <c r="CF62" i="3"/>
  <c r="CG62" i="3"/>
  <c r="CH62" i="3"/>
  <c r="CI62" i="3"/>
  <c r="CJ62" i="3"/>
  <c r="CE63" i="3"/>
  <c r="CF63" i="3"/>
  <c r="CG63" i="3"/>
  <c r="CH63" i="3"/>
  <c r="CI63" i="3"/>
  <c r="CJ63" i="3"/>
  <c r="CE64" i="3"/>
  <c r="CF64" i="3"/>
  <c r="CG64" i="3"/>
  <c r="CH64" i="3"/>
  <c r="CI64" i="3"/>
  <c r="CJ64" i="3"/>
  <c r="CE65" i="3"/>
  <c r="CF65" i="3"/>
  <c r="CG65" i="3"/>
  <c r="CH65" i="3"/>
  <c r="CI65" i="3"/>
  <c r="CJ65" i="3"/>
  <c r="CE66" i="3"/>
  <c r="CF66" i="3"/>
  <c r="CG66" i="3"/>
  <c r="CH66" i="3"/>
  <c r="CI66" i="3"/>
  <c r="CJ66" i="3"/>
  <c r="CE67" i="3"/>
  <c r="CF67" i="3"/>
  <c r="CG67" i="3"/>
  <c r="CH67" i="3"/>
  <c r="CI67" i="3"/>
  <c r="CJ67" i="3"/>
  <c r="CE68" i="3"/>
  <c r="CF68" i="3"/>
  <c r="CG68" i="3"/>
  <c r="CH68" i="3"/>
  <c r="CI68" i="3"/>
  <c r="CJ68" i="3"/>
  <c r="CE69" i="3"/>
  <c r="CF69" i="3"/>
  <c r="CG69" i="3"/>
  <c r="CH69" i="3"/>
  <c r="CI69" i="3"/>
  <c r="CJ69" i="3"/>
  <c r="CE70" i="3"/>
  <c r="CF70" i="3"/>
  <c r="CG70" i="3"/>
  <c r="CH70" i="3"/>
  <c r="CI70" i="3"/>
  <c r="CJ70" i="3"/>
  <c r="CE71" i="3"/>
  <c r="CF71" i="3"/>
  <c r="CG71" i="3"/>
  <c r="CH71" i="3"/>
  <c r="CI71" i="3"/>
  <c r="CJ71" i="3"/>
  <c r="CE72" i="3"/>
  <c r="CF72" i="3"/>
  <c r="CG72" i="3"/>
  <c r="CH72" i="3"/>
  <c r="CI72" i="3"/>
  <c r="CJ72" i="3"/>
  <c r="CE73" i="3"/>
  <c r="CF73" i="3"/>
  <c r="CG73" i="3"/>
  <c r="CH73" i="3"/>
  <c r="CI73" i="3"/>
  <c r="CJ73" i="3"/>
  <c r="CE74" i="3"/>
  <c r="CF74" i="3"/>
  <c r="CG74" i="3"/>
  <c r="CH74" i="3"/>
  <c r="CI74" i="3"/>
  <c r="CJ74" i="3"/>
  <c r="CE75" i="3"/>
  <c r="CF75" i="3"/>
  <c r="CG75" i="3"/>
  <c r="CH75" i="3"/>
  <c r="CI75" i="3"/>
  <c r="CJ75" i="3"/>
  <c r="CE76" i="3"/>
  <c r="CF76" i="3"/>
  <c r="CG76" i="3"/>
  <c r="CH76" i="3"/>
  <c r="CI76" i="3"/>
  <c r="CJ76" i="3"/>
  <c r="CE77" i="3"/>
  <c r="CF77" i="3"/>
  <c r="CG77" i="3"/>
  <c r="CH77" i="3"/>
  <c r="CI77" i="3"/>
  <c r="CJ77" i="3"/>
  <c r="CE78" i="3"/>
  <c r="CF78" i="3"/>
  <c r="CG78" i="3"/>
  <c r="CH78" i="3"/>
  <c r="CI78" i="3"/>
  <c r="CJ78" i="3"/>
  <c r="CE79" i="3"/>
  <c r="CF79" i="3"/>
  <c r="CG79" i="3"/>
  <c r="CH79" i="3"/>
  <c r="CI79" i="3"/>
  <c r="CJ79" i="3"/>
  <c r="CE80" i="3"/>
  <c r="CF80" i="3"/>
  <c r="CG80" i="3"/>
  <c r="CH80" i="3"/>
  <c r="CI80" i="3"/>
  <c r="CJ80" i="3"/>
  <c r="CE81" i="3"/>
  <c r="CF81" i="3"/>
  <c r="CG81" i="3"/>
  <c r="CH81" i="3"/>
  <c r="CI81" i="3"/>
  <c r="CJ81" i="3"/>
  <c r="CE82" i="3"/>
  <c r="CF82" i="3"/>
  <c r="CG82" i="3"/>
  <c r="CH82" i="3"/>
  <c r="CI82" i="3"/>
  <c r="CJ82" i="3"/>
  <c r="CE83" i="3"/>
  <c r="CF83" i="3"/>
  <c r="CG83" i="3"/>
  <c r="CH83" i="3"/>
  <c r="CI83" i="3"/>
  <c r="CJ83" i="3"/>
  <c r="CE84" i="3"/>
  <c r="CF84" i="3"/>
  <c r="CG84" i="3"/>
  <c r="CH84" i="3"/>
  <c r="CI84" i="3"/>
  <c r="CJ84" i="3"/>
  <c r="CE85" i="3"/>
  <c r="CF85" i="3"/>
  <c r="CG85" i="3"/>
  <c r="CH85" i="3"/>
  <c r="CI85" i="3"/>
  <c r="CJ85" i="3"/>
  <c r="CE86" i="3"/>
  <c r="CF86" i="3"/>
  <c r="CG86" i="3"/>
  <c r="CH86" i="3"/>
  <c r="CI86" i="3"/>
  <c r="CJ86" i="3"/>
  <c r="CE87" i="3"/>
  <c r="CF87" i="3"/>
  <c r="CG87" i="3"/>
  <c r="CH87" i="3"/>
  <c r="CI87" i="3"/>
  <c r="CJ87" i="3"/>
  <c r="CE88" i="3"/>
  <c r="CF88" i="3"/>
  <c r="CG88" i="3"/>
  <c r="CH88" i="3"/>
  <c r="CI88" i="3"/>
  <c r="CJ88" i="3"/>
  <c r="CE89" i="3"/>
  <c r="CF89" i="3"/>
  <c r="CG89" i="3"/>
  <c r="CH89" i="3"/>
  <c r="CI89" i="3"/>
  <c r="CJ89" i="3"/>
  <c r="CE90" i="3"/>
  <c r="CF90" i="3"/>
  <c r="CG90" i="3"/>
  <c r="CH90" i="3"/>
  <c r="CI90" i="3"/>
  <c r="CJ90" i="3"/>
  <c r="CE91" i="3"/>
  <c r="CF91" i="3"/>
  <c r="CG91" i="3"/>
  <c r="CH91" i="3"/>
  <c r="CI91" i="3"/>
  <c r="CJ91" i="3"/>
  <c r="CE92" i="3"/>
  <c r="CF92" i="3"/>
  <c r="CG92" i="3"/>
  <c r="CH92" i="3"/>
  <c r="CI92" i="3"/>
  <c r="CJ92" i="3"/>
  <c r="CE93" i="3"/>
  <c r="CF93" i="3"/>
  <c r="CG93" i="3"/>
  <c r="CH93" i="3"/>
  <c r="CI93" i="3"/>
  <c r="CJ93" i="3"/>
  <c r="CE94" i="3"/>
  <c r="CF94" i="3"/>
  <c r="CG94" i="3"/>
  <c r="CH94" i="3"/>
  <c r="CI94" i="3"/>
  <c r="CJ94" i="3"/>
  <c r="CE95" i="3"/>
  <c r="CF95" i="3"/>
  <c r="CG95" i="3"/>
  <c r="CH95" i="3"/>
  <c r="CI95" i="3"/>
  <c r="CJ95" i="3"/>
  <c r="CE96" i="3"/>
  <c r="CF96" i="3"/>
  <c r="CG96" i="3"/>
  <c r="CH96" i="3"/>
  <c r="CI96" i="3"/>
  <c r="CJ96" i="3"/>
  <c r="CE97" i="3"/>
  <c r="CF97" i="3"/>
  <c r="CG97" i="3"/>
  <c r="CH97" i="3"/>
  <c r="CI97" i="3"/>
  <c r="CJ97" i="3"/>
  <c r="CE98" i="3"/>
  <c r="CF98" i="3"/>
  <c r="CG98" i="3"/>
  <c r="CH98" i="3"/>
  <c r="CI98" i="3"/>
  <c r="CJ98" i="3"/>
  <c r="CE99" i="3"/>
  <c r="CF99" i="3"/>
  <c r="CG99" i="3"/>
  <c r="CH99" i="3"/>
  <c r="CI99" i="3"/>
  <c r="CJ99" i="3"/>
  <c r="CE100" i="3"/>
  <c r="CF100" i="3"/>
  <c r="CG100" i="3"/>
  <c r="CH100" i="3"/>
  <c r="CI100" i="3"/>
  <c r="CJ100" i="3"/>
  <c r="CE101" i="3"/>
  <c r="CF101" i="3"/>
  <c r="CG101" i="3"/>
  <c r="CH101" i="3"/>
  <c r="CI101" i="3"/>
  <c r="CJ101" i="3"/>
  <c r="CE102" i="3"/>
  <c r="CF102" i="3"/>
  <c r="CG102" i="3"/>
  <c r="CH102" i="3"/>
  <c r="CI102" i="3"/>
  <c r="CJ102" i="3"/>
  <c r="CE103" i="3"/>
  <c r="CF103" i="3"/>
  <c r="CG103" i="3"/>
  <c r="CH103" i="3"/>
  <c r="CI103" i="3"/>
  <c r="CJ103" i="3"/>
  <c r="CE104" i="3"/>
  <c r="CF104" i="3"/>
  <c r="CG104" i="3"/>
  <c r="CH104" i="3"/>
  <c r="CI104" i="3"/>
  <c r="CJ104" i="3"/>
  <c r="CE105" i="3"/>
  <c r="CF105" i="3"/>
  <c r="CG105" i="3"/>
  <c r="CH105" i="3"/>
  <c r="CI105" i="3"/>
  <c r="CJ105" i="3"/>
  <c r="CE106" i="3"/>
  <c r="CF106" i="3"/>
  <c r="CG106" i="3"/>
  <c r="CH106" i="3"/>
  <c r="CI106" i="3"/>
  <c r="CJ106" i="3"/>
  <c r="CJ11" i="4"/>
  <c r="CJ11" i="3"/>
  <c r="CI11" i="4"/>
  <c r="CI11" i="3"/>
  <c r="CH11" i="4"/>
  <c r="CH11" i="3"/>
  <c r="CG11" i="4"/>
  <c r="CG11" i="3"/>
  <c r="CF11" i="4"/>
  <c r="CF11" i="3"/>
  <c r="CE11" i="4"/>
  <c r="CE11" i="3"/>
  <c r="C29" i="6"/>
  <c r="K29" i="6" s="1"/>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0" i="4"/>
  <c r="AP51" i="4"/>
  <c r="AP52" i="4"/>
  <c r="AP53" i="4"/>
  <c r="AP54" i="4"/>
  <c r="AP55" i="4"/>
  <c r="AP56" i="4"/>
  <c r="AP57" i="4"/>
  <c r="AP58" i="4"/>
  <c r="AP59" i="4"/>
  <c r="AP60" i="4"/>
  <c r="AP61" i="4"/>
  <c r="AP62" i="4"/>
  <c r="AP63" i="4"/>
  <c r="AP64" i="4"/>
  <c r="AP65" i="4"/>
  <c r="AP66" i="4"/>
  <c r="AP67" i="4"/>
  <c r="AP68" i="4"/>
  <c r="AP69" i="4"/>
  <c r="AP70" i="4"/>
  <c r="AP71" i="4"/>
  <c r="AP72" i="4"/>
  <c r="AP73" i="4"/>
  <c r="AP74" i="4"/>
  <c r="AP75" i="4"/>
  <c r="AP76" i="4"/>
  <c r="AP77" i="4"/>
  <c r="AP78" i="4"/>
  <c r="AP79" i="4"/>
  <c r="AP80" i="4"/>
  <c r="AP81" i="4"/>
  <c r="AP82" i="4"/>
  <c r="AP83" i="4"/>
  <c r="AP84" i="4"/>
  <c r="AP85" i="4"/>
  <c r="AP86" i="4"/>
  <c r="AP87" i="4"/>
  <c r="AP88" i="4"/>
  <c r="AP89" i="4"/>
  <c r="AP90" i="4"/>
  <c r="AP91" i="4"/>
  <c r="AP92" i="4"/>
  <c r="AP93" i="4"/>
  <c r="AP94" i="4"/>
  <c r="AP95" i="4"/>
  <c r="AP96" i="4"/>
  <c r="AP97" i="4"/>
  <c r="AP98" i="4"/>
  <c r="AP99" i="4"/>
  <c r="AP100" i="4"/>
  <c r="AP101" i="4"/>
  <c r="AP102" i="4"/>
  <c r="AP103" i="4"/>
  <c r="AP104" i="4"/>
  <c r="AP105" i="4"/>
  <c r="AP106" i="4"/>
  <c r="AP12" i="3"/>
  <c r="AP13" i="3"/>
  <c r="AP14" i="3"/>
  <c r="AP15" i="3"/>
  <c r="AP16" i="3"/>
  <c r="AP17" i="3"/>
  <c r="AP18" i="3"/>
  <c r="AP19" i="3"/>
  <c r="AP20" i="3"/>
  <c r="AP21" i="3"/>
  <c r="AP22" i="3"/>
  <c r="AP23" i="3"/>
  <c r="AP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AP52" i="3"/>
  <c r="AP53" i="3"/>
  <c r="AP54" i="3"/>
  <c r="AP55" i="3"/>
  <c r="AP56" i="3"/>
  <c r="AP57" i="3"/>
  <c r="AP58" i="3"/>
  <c r="AP59" i="3"/>
  <c r="AP60" i="3"/>
  <c r="AP61" i="3"/>
  <c r="AP62" i="3"/>
  <c r="AP63" i="3"/>
  <c r="AP64" i="3"/>
  <c r="AP65" i="3"/>
  <c r="AP66" i="3"/>
  <c r="AP67" i="3"/>
  <c r="AP68" i="3"/>
  <c r="AP69" i="3"/>
  <c r="AP70" i="3"/>
  <c r="AP71" i="3"/>
  <c r="AP72" i="3"/>
  <c r="AP73" i="3"/>
  <c r="AP74" i="3"/>
  <c r="AP75" i="3"/>
  <c r="AP76" i="3"/>
  <c r="AP77" i="3"/>
  <c r="AP78" i="3"/>
  <c r="AP79" i="3"/>
  <c r="AP80" i="3"/>
  <c r="AP81" i="3"/>
  <c r="AP82" i="3"/>
  <c r="AP83" i="3"/>
  <c r="AP84" i="3"/>
  <c r="AP85" i="3"/>
  <c r="AP86" i="3"/>
  <c r="AP87" i="3"/>
  <c r="AP88" i="3"/>
  <c r="AP89" i="3"/>
  <c r="AP90" i="3"/>
  <c r="AP91" i="3"/>
  <c r="AP92" i="3"/>
  <c r="AP93" i="3"/>
  <c r="AP94" i="3"/>
  <c r="AP95" i="3"/>
  <c r="AP96" i="3"/>
  <c r="AP97" i="3"/>
  <c r="AP98" i="3"/>
  <c r="AP99" i="3"/>
  <c r="AP100" i="3"/>
  <c r="AP101" i="3"/>
  <c r="AP102" i="3"/>
  <c r="AP103" i="3"/>
  <c r="AP104" i="3"/>
  <c r="AP105" i="3"/>
  <c r="AP106" i="3"/>
  <c r="E4" i="6"/>
  <c r="AR115" i="4"/>
  <c r="AR12" i="4"/>
  <c r="AR13" i="4"/>
  <c r="AR14" i="4" s="1"/>
  <c r="AR15" i="4" s="1"/>
  <c r="AW9" i="4"/>
  <c r="DC9" i="4" s="1"/>
  <c r="AV9" i="4"/>
  <c r="DB9" i="4" s="1"/>
  <c r="AU9" i="4"/>
  <c r="DA9" i="4" s="1"/>
  <c r="AT9" i="4"/>
  <c r="CZ9" i="4" s="1"/>
  <c r="AS9" i="4"/>
  <c r="CY9" i="4" s="1"/>
  <c r="AR115" i="3"/>
  <c r="AW9" i="3"/>
  <c r="DC9" i="3" s="1"/>
  <c r="AV9" i="3"/>
  <c r="DB9" i="3" s="1"/>
  <c r="AU9" i="3"/>
  <c r="DA9" i="3" s="1"/>
  <c r="AT9" i="3"/>
  <c r="CZ9" i="3" s="1"/>
  <c r="AS9" i="3"/>
  <c r="CY9" i="3" s="1"/>
  <c r="AR12" i="3"/>
  <c r="AR13" i="3" s="1"/>
  <c r="AR14" i="3" s="1"/>
  <c r="AR15" i="3" s="1"/>
  <c r="AR16" i="3" s="1"/>
  <c r="AR17" i="3" s="1"/>
  <c r="AR18" i="3" s="1"/>
  <c r="AR19" i="3" s="1"/>
  <c r="E2" i="6"/>
  <c r="BE110" i="4"/>
  <c r="BE110" i="3"/>
  <c r="BF110" i="4"/>
  <c r="BF110" i="3"/>
  <c r="BD110" i="4"/>
  <c r="BD110" i="3"/>
  <c r="BC110" i="4"/>
  <c r="BC110" i="3"/>
  <c r="BB110" i="4"/>
  <c r="BB110" i="3"/>
  <c r="BA110" i="4"/>
  <c r="BA110" i="3"/>
  <c r="AZ110" i="4"/>
  <c r="AY115" i="4"/>
  <c r="BX106" i="4"/>
  <c r="BW106" i="4"/>
  <c r="BV106" i="4"/>
  <c r="BU106" i="4"/>
  <c r="BT106" i="4"/>
  <c r="BS106" i="4"/>
  <c r="BR106" i="4"/>
  <c r="BO106" i="4"/>
  <c r="BN106" i="4"/>
  <c r="BM106" i="4"/>
  <c r="BL106" i="4"/>
  <c r="BK106" i="4"/>
  <c r="BJ106" i="4"/>
  <c r="BI106" i="4"/>
  <c r="BF106" i="4"/>
  <c r="BE106" i="4"/>
  <c r="BD106" i="4"/>
  <c r="BC106" i="4"/>
  <c r="BB106" i="4"/>
  <c r="BA106" i="4"/>
  <c r="BX105" i="4"/>
  <c r="BW105" i="4"/>
  <c r="BV105" i="4"/>
  <c r="BU105" i="4"/>
  <c r="BT105" i="4"/>
  <c r="BS105" i="4"/>
  <c r="BR105" i="4"/>
  <c r="BO105" i="4"/>
  <c r="BN105" i="4"/>
  <c r="BM105" i="4"/>
  <c r="BL105" i="4"/>
  <c r="BK105" i="4"/>
  <c r="BJ105" i="4"/>
  <c r="BI105" i="4"/>
  <c r="BF105" i="4"/>
  <c r="BE105" i="4"/>
  <c r="BD105" i="4"/>
  <c r="BC105" i="4"/>
  <c r="BB105" i="4"/>
  <c r="BA105" i="4"/>
  <c r="AZ105" i="4"/>
  <c r="BX104" i="4"/>
  <c r="BW104" i="4"/>
  <c r="BV104" i="4"/>
  <c r="BU104" i="4"/>
  <c r="BT104" i="4"/>
  <c r="BS104" i="4"/>
  <c r="BR104" i="4"/>
  <c r="BO104" i="4"/>
  <c r="BN104" i="4"/>
  <c r="BM104" i="4"/>
  <c r="BL104" i="4"/>
  <c r="BK104" i="4"/>
  <c r="BJ104" i="4"/>
  <c r="BI104" i="4"/>
  <c r="BF104" i="4"/>
  <c r="BE104" i="4"/>
  <c r="BD104" i="4"/>
  <c r="BC104" i="4"/>
  <c r="BB104" i="4"/>
  <c r="BA104" i="4"/>
  <c r="AZ104" i="4"/>
  <c r="BX103" i="4"/>
  <c r="BW103" i="4"/>
  <c r="BV103" i="4"/>
  <c r="BU103" i="4"/>
  <c r="BT103" i="4"/>
  <c r="BS103" i="4"/>
  <c r="BR103" i="4"/>
  <c r="BO103" i="4"/>
  <c r="BN103" i="4"/>
  <c r="BM103" i="4"/>
  <c r="BL103" i="4"/>
  <c r="BK103" i="4"/>
  <c r="BJ103" i="4"/>
  <c r="BI103" i="4"/>
  <c r="BF103" i="4"/>
  <c r="BE103" i="4"/>
  <c r="BD103" i="4"/>
  <c r="BC103" i="4"/>
  <c r="BB103" i="4"/>
  <c r="BA103" i="4"/>
  <c r="AZ103" i="4"/>
  <c r="BX102" i="4"/>
  <c r="BW102" i="4"/>
  <c r="BV102" i="4"/>
  <c r="BU102" i="4"/>
  <c r="BT102" i="4"/>
  <c r="BS102" i="4"/>
  <c r="BR102" i="4"/>
  <c r="BO102" i="4"/>
  <c r="BN102" i="4"/>
  <c r="BM102" i="4"/>
  <c r="BL102" i="4"/>
  <c r="BK102" i="4"/>
  <c r="BJ102" i="4"/>
  <c r="BI102" i="4"/>
  <c r="BF102" i="4"/>
  <c r="BE102" i="4"/>
  <c r="BD102" i="4"/>
  <c r="BC102" i="4"/>
  <c r="BB102" i="4"/>
  <c r="BA102" i="4"/>
  <c r="AZ102" i="4"/>
  <c r="BX101" i="4"/>
  <c r="BW101" i="4"/>
  <c r="BV101" i="4"/>
  <c r="BU101" i="4"/>
  <c r="BT101" i="4"/>
  <c r="BS101" i="4"/>
  <c r="BR101" i="4"/>
  <c r="BO101" i="4"/>
  <c r="BN101" i="4"/>
  <c r="BM101" i="4"/>
  <c r="BL101" i="4"/>
  <c r="BK101" i="4"/>
  <c r="BJ101" i="4"/>
  <c r="BI101" i="4"/>
  <c r="BF101" i="4"/>
  <c r="BE101" i="4"/>
  <c r="BD101" i="4"/>
  <c r="BC101" i="4"/>
  <c r="BB101" i="4"/>
  <c r="BA101" i="4"/>
  <c r="AZ101" i="4"/>
  <c r="BX100" i="4"/>
  <c r="BW100" i="4"/>
  <c r="BV100" i="4"/>
  <c r="BU100" i="4"/>
  <c r="BT100" i="4"/>
  <c r="BS100" i="4"/>
  <c r="BR100" i="4"/>
  <c r="BO100" i="4"/>
  <c r="BN100" i="4"/>
  <c r="BM100" i="4"/>
  <c r="BL100" i="4"/>
  <c r="BK100" i="4"/>
  <c r="BJ100" i="4"/>
  <c r="BI100" i="4"/>
  <c r="BF100" i="4"/>
  <c r="BE100" i="4"/>
  <c r="BD100" i="4"/>
  <c r="BC100" i="4"/>
  <c r="BB100" i="4"/>
  <c r="BA100" i="4"/>
  <c r="AZ100" i="4"/>
  <c r="BX99" i="4"/>
  <c r="BW99" i="4"/>
  <c r="BV99" i="4"/>
  <c r="BU99" i="4"/>
  <c r="BT99" i="4"/>
  <c r="BS99" i="4"/>
  <c r="BR99" i="4"/>
  <c r="BO99" i="4"/>
  <c r="BN99" i="4"/>
  <c r="BM99" i="4"/>
  <c r="BL99" i="4"/>
  <c r="BK99" i="4"/>
  <c r="BJ99" i="4"/>
  <c r="BI99" i="4"/>
  <c r="BF99" i="4"/>
  <c r="BE99" i="4"/>
  <c r="BD99" i="4"/>
  <c r="BC99" i="4"/>
  <c r="BB99" i="4"/>
  <c r="BA99" i="4"/>
  <c r="AZ99" i="4"/>
  <c r="BX98" i="4"/>
  <c r="BW98" i="4"/>
  <c r="BV98" i="4"/>
  <c r="BU98" i="4"/>
  <c r="BT98" i="4"/>
  <c r="BS98" i="4"/>
  <c r="BR98" i="4"/>
  <c r="BO98" i="4"/>
  <c r="BN98" i="4"/>
  <c r="BM98" i="4"/>
  <c r="BL98" i="4"/>
  <c r="BK98" i="4"/>
  <c r="BJ98" i="4"/>
  <c r="BI98" i="4"/>
  <c r="BF98" i="4"/>
  <c r="BE98" i="4"/>
  <c r="BD98" i="4"/>
  <c r="BC98" i="4"/>
  <c r="BB98" i="4"/>
  <c r="BA98" i="4"/>
  <c r="AZ98" i="4"/>
  <c r="BX97" i="4"/>
  <c r="BW97" i="4"/>
  <c r="BV97" i="4"/>
  <c r="BU97" i="4"/>
  <c r="BT97" i="4"/>
  <c r="BS97" i="4"/>
  <c r="BR97" i="4"/>
  <c r="BO97" i="4"/>
  <c r="BN97" i="4"/>
  <c r="BM97" i="4"/>
  <c r="BL97" i="4"/>
  <c r="BK97" i="4"/>
  <c r="BJ97" i="4"/>
  <c r="BI97" i="4"/>
  <c r="BF97" i="4"/>
  <c r="BE97" i="4"/>
  <c r="BD97" i="4"/>
  <c r="BC97" i="4"/>
  <c r="BB97" i="4"/>
  <c r="BA97" i="4"/>
  <c r="AZ97" i="4"/>
  <c r="BX96" i="4"/>
  <c r="BW96" i="4"/>
  <c r="BV96" i="4"/>
  <c r="BU96" i="4"/>
  <c r="BT96" i="4"/>
  <c r="BS96" i="4"/>
  <c r="BR96" i="4"/>
  <c r="BO96" i="4"/>
  <c r="BN96" i="4"/>
  <c r="BM96" i="4"/>
  <c r="BL96" i="4"/>
  <c r="BK96" i="4"/>
  <c r="BJ96" i="4"/>
  <c r="BI96" i="4"/>
  <c r="BF96" i="4"/>
  <c r="BE96" i="4"/>
  <c r="BD96" i="4"/>
  <c r="BC96" i="4"/>
  <c r="BB96" i="4"/>
  <c r="BA96" i="4"/>
  <c r="AZ96" i="4"/>
  <c r="BX95" i="4"/>
  <c r="BW95" i="4"/>
  <c r="BV95" i="4"/>
  <c r="BU95" i="4"/>
  <c r="BT95" i="4"/>
  <c r="BS95" i="4"/>
  <c r="BR95" i="4"/>
  <c r="BO95" i="4"/>
  <c r="BN95" i="4"/>
  <c r="BM95" i="4"/>
  <c r="BL95" i="4"/>
  <c r="BK95" i="4"/>
  <c r="BJ95" i="4"/>
  <c r="BI95" i="4"/>
  <c r="BF95" i="4"/>
  <c r="BE95" i="4"/>
  <c r="BD95" i="4"/>
  <c r="BC95" i="4"/>
  <c r="BB95" i="4"/>
  <c r="BA95" i="4"/>
  <c r="AZ95" i="4"/>
  <c r="BX94" i="4"/>
  <c r="BW94" i="4"/>
  <c r="BV94" i="4"/>
  <c r="BU94" i="4"/>
  <c r="BT94" i="4"/>
  <c r="BS94" i="4"/>
  <c r="BR94" i="4"/>
  <c r="BO94" i="4"/>
  <c r="BN94" i="4"/>
  <c r="BM94" i="4"/>
  <c r="BL94" i="4"/>
  <c r="BK94" i="4"/>
  <c r="BJ94" i="4"/>
  <c r="BI94" i="4"/>
  <c r="BF94" i="4"/>
  <c r="BE94" i="4"/>
  <c r="BD94" i="4"/>
  <c r="BC94" i="4"/>
  <c r="BB94" i="4"/>
  <c r="BA94" i="4"/>
  <c r="AZ94" i="4"/>
  <c r="BX93" i="4"/>
  <c r="BW93" i="4"/>
  <c r="BV93" i="4"/>
  <c r="BU93" i="4"/>
  <c r="BT93" i="4"/>
  <c r="BS93" i="4"/>
  <c r="BR93" i="4"/>
  <c r="BO93" i="4"/>
  <c r="BN93" i="4"/>
  <c r="BM93" i="4"/>
  <c r="BL93" i="4"/>
  <c r="BK93" i="4"/>
  <c r="BJ93" i="4"/>
  <c r="BI93" i="4"/>
  <c r="BF93" i="4"/>
  <c r="BE93" i="4"/>
  <c r="BD93" i="4"/>
  <c r="BC93" i="4"/>
  <c r="BB93" i="4"/>
  <c r="BA93" i="4"/>
  <c r="AZ93" i="4"/>
  <c r="BX92" i="4"/>
  <c r="BW92" i="4"/>
  <c r="BV92" i="4"/>
  <c r="BU92" i="4"/>
  <c r="BT92" i="4"/>
  <c r="BS92" i="4"/>
  <c r="BR92" i="4"/>
  <c r="BO92" i="4"/>
  <c r="BN92" i="4"/>
  <c r="BM92" i="4"/>
  <c r="BL92" i="4"/>
  <c r="BK92" i="4"/>
  <c r="BJ92" i="4"/>
  <c r="BI92" i="4"/>
  <c r="BF92" i="4"/>
  <c r="BE92" i="4"/>
  <c r="BD92" i="4"/>
  <c r="BC92" i="4"/>
  <c r="BB92" i="4"/>
  <c r="BA92" i="4"/>
  <c r="AZ92" i="4"/>
  <c r="BX91" i="4"/>
  <c r="BW91" i="4"/>
  <c r="BV91" i="4"/>
  <c r="BU91" i="4"/>
  <c r="BT91" i="4"/>
  <c r="BS91" i="4"/>
  <c r="BR91" i="4"/>
  <c r="BO91" i="4"/>
  <c r="BN91" i="4"/>
  <c r="BM91" i="4"/>
  <c r="BL91" i="4"/>
  <c r="BK91" i="4"/>
  <c r="BJ91" i="4"/>
  <c r="BI91" i="4"/>
  <c r="BF91" i="4"/>
  <c r="BE91" i="4"/>
  <c r="BD91" i="4"/>
  <c r="BC91" i="4"/>
  <c r="BB91" i="4"/>
  <c r="BA91" i="4"/>
  <c r="AZ91" i="4"/>
  <c r="BX90" i="4"/>
  <c r="BW90" i="4"/>
  <c r="BV90" i="4"/>
  <c r="BU90" i="4"/>
  <c r="BT90" i="4"/>
  <c r="BS90" i="4"/>
  <c r="BR90" i="4"/>
  <c r="BO90" i="4"/>
  <c r="BN90" i="4"/>
  <c r="BM90" i="4"/>
  <c r="BL90" i="4"/>
  <c r="BK90" i="4"/>
  <c r="BJ90" i="4"/>
  <c r="BI90" i="4"/>
  <c r="BF90" i="4"/>
  <c r="BE90" i="4"/>
  <c r="BD90" i="4"/>
  <c r="BC90" i="4"/>
  <c r="BB90" i="4"/>
  <c r="BA90" i="4"/>
  <c r="AZ90" i="4"/>
  <c r="BX89" i="4"/>
  <c r="BW89" i="4"/>
  <c r="BV89" i="4"/>
  <c r="BU89" i="4"/>
  <c r="BT89" i="4"/>
  <c r="BS89" i="4"/>
  <c r="BR89" i="4"/>
  <c r="BO89" i="4"/>
  <c r="BN89" i="4"/>
  <c r="BM89" i="4"/>
  <c r="BL89" i="4"/>
  <c r="BK89" i="4"/>
  <c r="BJ89" i="4"/>
  <c r="BI89" i="4"/>
  <c r="BF89" i="4"/>
  <c r="BE89" i="4"/>
  <c r="BD89" i="4"/>
  <c r="BC89" i="4"/>
  <c r="BB89" i="4"/>
  <c r="BA89" i="4"/>
  <c r="AZ89" i="4"/>
  <c r="BX88" i="4"/>
  <c r="BW88" i="4"/>
  <c r="BV88" i="4"/>
  <c r="BU88" i="4"/>
  <c r="BT88" i="4"/>
  <c r="BS88" i="4"/>
  <c r="BR88" i="4"/>
  <c r="BO88" i="4"/>
  <c r="BN88" i="4"/>
  <c r="BM88" i="4"/>
  <c r="BL88" i="4"/>
  <c r="BK88" i="4"/>
  <c r="BJ88" i="4"/>
  <c r="BI88" i="4"/>
  <c r="BF88" i="4"/>
  <c r="BE88" i="4"/>
  <c r="BD88" i="4"/>
  <c r="BC88" i="4"/>
  <c r="BB88" i="4"/>
  <c r="BA88" i="4"/>
  <c r="AZ88" i="4"/>
  <c r="BX87" i="4"/>
  <c r="BW87" i="4"/>
  <c r="BV87" i="4"/>
  <c r="BU87" i="4"/>
  <c r="BT87" i="4"/>
  <c r="BS87" i="4"/>
  <c r="BR87" i="4"/>
  <c r="BO87" i="4"/>
  <c r="BN87" i="4"/>
  <c r="BM87" i="4"/>
  <c r="BL87" i="4"/>
  <c r="BK87" i="4"/>
  <c r="BJ87" i="4"/>
  <c r="BI87" i="4"/>
  <c r="BF87" i="4"/>
  <c r="BE87" i="4"/>
  <c r="BD87" i="4"/>
  <c r="BC87" i="4"/>
  <c r="BB87" i="4"/>
  <c r="BA87" i="4"/>
  <c r="AZ87" i="4"/>
  <c r="BX86" i="4"/>
  <c r="BW86" i="4"/>
  <c r="BV86" i="4"/>
  <c r="BU86" i="4"/>
  <c r="BT86" i="4"/>
  <c r="BS86" i="4"/>
  <c r="BR86" i="4"/>
  <c r="BO86" i="4"/>
  <c r="BN86" i="4"/>
  <c r="BM86" i="4"/>
  <c r="BL86" i="4"/>
  <c r="BK86" i="4"/>
  <c r="BJ86" i="4"/>
  <c r="BI86" i="4"/>
  <c r="BF86" i="4"/>
  <c r="BE86" i="4"/>
  <c r="BD86" i="4"/>
  <c r="BC86" i="4"/>
  <c r="BB86" i="4"/>
  <c r="BA86" i="4"/>
  <c r="AZ86" i="4"/>
  <c r="BX85" i="4"/>
  <c r="BW85" i="4"/>
  <c r="BV85" i="4"/>
  <c r="BU85" i="4"/>
  <c r="BT85" i="4"/>
  <c r="BS85" i="4"/>
  <c r="BR85" i="4"/>
  <c r="BO85" i="4"/>
  <c r="BN85" i="4"/>
  <c r="BM85" i="4"/>
  <c r="BL85" i="4"/>
  <c r="BK85" i="4"/>
  <c r="BJ85" i="4"/>
  <c r="BI85" i="4"/>
  <c r="BF85" i="4"/>
  <c r="BE85" i="4"/>
  <c r="BD85" i="4"/>
  <c r="BC85" i="4"/>
  <c r="BB85" i="4"/>
  <c r="BA85" i="4"/>
  <c r="AZ85" i="4"/>
  <c r="BX84" i="4"/>
  <c r="BW84" i="4"/>
  <c r="BV84" i="4"/>
  <c r="BU84" i="4"/>
  <c r="BT84" i="4"/>
  <c r="BS84" i="4"/>
  <c r="BR84" i="4"/>
  <c r="BO84" i="4"/>
  <c r="BN84" i="4"/>
  <c r="BM84" i="4"/>
  <c r="BL84" i="4"/>
  <c r="BK84" i="4"/>
  <c r="BJ84" i="4"/>
  <c r="BI84" i="4"/>
  <c r="BF84" i="4"/>
  <c r="BE84" i="4"/>
  <c r="BD84" i="4"/>
  <c r="BC84" i="4"/>
  <c r="BB84" i="4"/>
  <c r="BA84" i="4"/>
  <c r="AZ84" i="4"/>
  <c r="BX83" i="4"/>
  <c r="BW83" i="4"/>
  <c r="BV83" i="4"/>
  <c r="BU83" i="4"/>
  <c r="BT83" i="4"/>
  <c r="BS83" i="4"/>
  <c r="BR83" i="4"/>
  <c r="BO83" i="4"/>
  <c r="BN83" i="4"/>
  <c r="BM83" i="4"/>
  <c r="BL83" i="4"/>
  <c r="BK83" i="4"/>
  <c r="BJ83" i="4"/>
  <c r="BI83" i="4"/>
  <c r="BF83" i="4"/>
  <c r="BE83" i="4"/>
  <c r="BD83" i="4"/>
  <c r="BC83" i="4"/>
  <c r="BB83" i="4"/>
  <c r="BA83" i="4"/>
  <c r="AZ83" i="4"/>
  <c r="BX82" i="4"/>
  <c r="BW82" i="4"/>
  <c r="BV82" i="4"/>
  <c r="BU82" i="4"/>
  <c r="BT82" i="4"/>
  <c r="BS82" i="4"/>
  <c r="BR82" i="4"/>
  <c r="BO82" i="4"/>
  <c r="BN82" i="4"/>
  <c r="BM82" i="4"/>
  <c r="BL82" i="4"/>
  <c r="BK82" i="4"/>
  <c r="BJ82" i="4"/>
  <c r="BI82" i="4"/>
  <c r="BF82" i="4"/>
  <c r="BE82" i="4"/>
  <c r="BD82" i="4"/>
  <c r="BC82" i="4"/>
  <c r="BB82" i="4"/>
  <c r="BA82" i="4"/>
  <c r="AZ82" i="4"/>
  <c r="BX81" i="4"/>
  <c r="BW81" i="4"/>
  <c r="BV81" i="4"/>
  <c r="BU81" i="4"/>
  <c r="BT81" i="4"/>
  <c r="BS81" i="4"/>
  <c r="BR81" i="4"/>
  <c r="BO81" i="4"/>
  <c r="BN81" i="4"/>
  <c r="BM81" i="4"/>
  <c r="BL81" i="4"/>
  <c r="BK81" i="4"/>
  <c r="BJ81" i="4"/>
  <c r="BI81" i="4"/>
  <c r="BF81" i="4"/>
  <c r="BE81" i="4"/>
  <c r="BD81" i="4"/>
  <c r="BC81" i="4"/>
  <c r="BB81" i="4"/>
  <c r="BA81" i="4"/>
  <c r="AZ81" i="4"/>
  <c r="BX80" i="4"/>
  <c r="BW80" i="4"/>
  <c r="BV80" i="4"/>
  <c r="BU80" i="4"/>
  <c r="BT80" i="4"/>
  <c r="BS80" i="4"/>
  <c r="BR80" i="4"/>
  <c r="BO80" i="4"/>
  <c r="BN80" i="4"/>
  <c r="BM80" i="4"/>
  <c r="BL80" i="4"/>
  <c r="BK80" i="4"/>
  <c r="BJ80" i="4"/>
  <c r="BI80" i="4"/>
  <c r="BF80" i="4"/>
  <c r="BE80" i="4"/>
  <c r="BD80" i="4"/>
  <c r="BC80" i="4"/>
  <c r="BB80" i="4"/>
  <c r="BA80" i="4"/>
  <c r="AZ80" i="4"/>
  <c r="BX79" i="4"/>
  <c r="BW79" i="4"/>
  <c r="BV79" i="4"/>
  <c r="BU79" i="4"/>
  <c r="BT79" i="4"/>
  <c r="BS79" i="4"/>
  <c r="BR79" i="4"/>
  <c r="BO79" i="4"/>
  <c r="BN79" i="4"/>
  <c r="BM79" i="4"/>
  <c r="BL79" i="4"/>
  <c r="BK79" i="4"/>
  <c r="BJ79" i="4"/>
  <c r="BI79" i="4"/>
  <c r="BF79" i="4"/>
  <c r="BE79" i="4"/>
  <c r="BD79" i="4"/>
  <c r="BC79" i="4"/>
  <c r="BB79" i="4"/>
  <c r="BA79" i="4"/>
  <c r="AZ79" i="4"/>
  <c r="BX78" i="4"/>
  <c r="BW78" i="4"/>
  <c r="BV78" i="4"/>
  <c r="BU78" i="4"/>
  <c r="BT78" i="4"/>
  <c r="BS78" i="4"/>
  <c r="BR78" i="4"/>
  <c r="BO78" i="4"/>
  <c r="BN78" i="4"/>
  <c r="BM78" i="4"/>
  <c r="BL78" i="4"/>
  <c r="BK78" i="4"/>
  <c r="BJ78" i="4"/>
  <c r="BI78" i="4"/>
  <c r="BF78" i="4"/>
  <c r="BE78" i="4"/>
  <c r="BD78" i="4"/>
  <c r="BC78" i="4"/>
  <c r="BB78" i="4"/>
  <c r="BA78" i="4"/>
  <c r="AZ78" i="4"/>
  <c r="BX77" i="4"/>
  <c r="BW77" i="4"/>
  <c r="BV77" i="4"/>
  <c r="BU77" i="4"/>
  <c r="BT77" i="4"/>
  <c r="BS77" i="4"/>
  <c r="BR77" i="4"/>
  <c r="BO77" i="4"/>
  <c r="BN77" i="4"/>
  <c r="BM77" i="4"/>
  <c r="BL77" i="4"/>
  <c r="BK77" i="4"/>
  <c r="BJ77" i="4"/>
  <c r="BI77" i="4"/>
  <c r="BF77" i="4"/>
  <c r="BE77" i="4"/>
  <c r="BD77" i="4"/>
  <c r="BC77" i="4"/>
  <c r="BB77" i="4"/>
  <c r="BA77" i="4"/>
  <c r="AZ77" i="4"/>
  <c r="BX76" i="4"/>
  <c r="BW76" i="4"/>
  <c r="BV76" i="4"/>
  <c r="BU76" i="4"/>
  <c r="BT76" i="4"/>
  <c r="BS76" i="4"/>
  <c r="BR76" i="4"/>
  <c r="BO76" i="4"/>
  <c r="BN76" i="4"/>
  <c r="BM76" i="4"/>
  <c r="BL76" i="4"/>
  <c r="BK76" i="4"/>
  <c r="BJ76" i="4"/>
  <c r="BI76" i="4"/>
  <c r="BF76" i="4"/>
  <c r="BE76" i="4"/>
  <c r="BD76" i="4"/>
  <c r="BC76" i="4"/>
  <c r="BB76" i="4"/>
  <c r="BA76" i="4"/>
  <c r="AZ76" i="4"/>
  <c r="BX75" i="4"/>
  <c r="BW75" i="4"/>
  <c r="BV75" i="4"/>
  <c r="BU75" i="4"/>
  <c r="BT75" i="4"/>
  <c r="BS75" i="4"/>
  <c r="BR75" i="4"/>
  <c r="BO75" i="4"/>
  <c r="BN75" i="4"/>
  <c r="BM75" i="4"/>
  <c r="BL75" i="4"/>
  <c r="BK75" i="4"/>
  <c r="BJ75" i="4"/>
  <c r="BI75" i="4"/>
  <c r="BF75" i="4"/>
  <c r="BE75" i="4"/>
  <c r="BD75" i="4"/>
  <c r="BC75" i="4"/>
  <c r="BB75" i="4"/>
  <c r="BA75" i="4"/>
  <c r="AZ75" i="4"/>
  <c r="BX74" i="4"/>
  <c r="BW74" i="4"/>
  <c r="BV74" i="4"/>
  <c r="BU74" i="4"/>
  <c r="BT74" i="4"/>
  <c r="BS74" i="4"/>
  <c r="BR74" i="4"/>
  <c r="BO74" i="4"/>
  <c r="BN74" i="4"/>
  <c r="BM74" i="4"/>
  <c r="BL74" i="4"/>
  <c r="BK74" i="4"/>
  <c r="BJ74" i="4"/>
  <c r="BI74" i="4"/>
  <c r="BF74" i="4"/>
  <c r="BE74" i="4"/>
  <c r="BD74" i="4"/>
  <c r="BC74" i="4"/>
  <c r="BB74" i="4"/>
  <c r="BA74" i="4"/>
  <c r="AZ74" i="4"/>
  <c r="BX73" i="4"/>
  <c r="BW73" i="4"/>
  <c r="BV73" i="4"/>
  <c r="BU73" i="4"/>
  <c r="BT73" i="4"/>
  <c r="BS73" i="4"/>
  <c r="BR73" i="4"/>
  <c r="BO73" i="4"/>
  <c r="BN73" i="4"/>
  <c r="BM73" i="4"/>
  <c r="BL73" i="4"/>
  <c r="BK73" i="4"/>
  <c r="BJ73" i="4"/>
  <c r="BI73" i="4"/>
  <c r="BF73" i="4"/>
  <c r="BE73" i="4"/>
  <c r="BD73" i="4"/>
  <c r="BC73" i="4"/>
  <c r="BB73" i="4"/>
  <c r="BA73" i="4"/>
  <c r="AZ73" i="4"/>
  <c r="BX72" i="4"/>
  <c r="BW72" i="4"/>
  <c r="BV72" i="4"/>
  <c r="BU72" i="4"/>
  <c r="BT72" i="4"/>
  <c r="BS72" i="4"/>
  <c r="BR72" i="4"/>
  <c r="BO72" i="4"/>
  <c r="BN72" i="4"/>
  <c r="BM72" i="4"/>
  <c r="BL72" i="4"/>
  <c r="BK72" i="4"/>
  <c r="BJ72" i="4"/>
  <c r="BI72" i="4"/>
  <c r="BF72" i="4"/>
  <c r="BE72" i="4"/>
  <c r="BD72" i="4"/>
  <c r="BC72" i="4"/>
  <c r="BB72" i="4"/>
  <c r="BA72" i="4"/>
  <c r="AZ72" i="4"/>
  <c r="BX71" i="4"/>
  <c r="BW71" i="4"/>
  <c r="BV71" i="4"/>
  <c r="BU71" i="4"/>
  <c r="BT71" i="4"/>
  <c r="BS71" i="4"/>
  <c r="BR71" i="4"/>
  <c r="BO71" i="4"/>
  <c r="BN71" i="4"/>
  <c r="BM71" i="4"/>
  <c r="BL71" i="4"/>
  <c r="BK71" i="4"/>
  <c r="BJ71" i="4"/>
  <c r="BI71" i="4"/>
  <c r="BF71" i="4"/>
  <c r="BE71" i="4"/>
  <c r="BD71" i="4"/>
  <c r="BC71" i="4"/>
  <c r="BB71" i="4"/>
  <c r="BA71" i="4"/>
  <c r="AZ71" i="4"/>
  <c r="BX70" i="4"/>
  <c r="BW70" i="4"/>
  <c r="BV70" i="4"/>
  <c r="BU70" i="4"/>
  <c r="BT70" i="4"/>
  <c r="BS70" i="4"/>
  <c r="BR70" i="4"/>
  <c r="BO70" i="4"/>
  <c r="BN70" i="4"/>
  <c r="BM70" i="4"/>
  <c r="BL70" i="4"/>
  <c r="BK70" i="4"/>
  <c r="BJ70" i="4"/>
  <c r="BI70" i="4"/>
  <c r="BF70" i="4"/>
  <c r="BE70" i="4"/>
  <c r="BD70" i="4"/>
  <c r="BC70" i="4"/>
  <c r="BB70" i="4"/>
  <c r="BA70" i="4"/>
  <c r="AZ70" i="4"/>
  <c r="BX69" i="4"/>
  <c r="BW69" i="4"/>
  <c r="BV69" i="4"/>
  <c r="BU69" i="4"/>
  <c r="BT69" i="4"/>
  <c r="BS69" i="4"/>
  <c r="BR69" i="4"/>
  <c r="BO69" i="4"/>
  <c r="BN69" i="4"/>
  <c r="BM69" i="4"/>
  <c r="BL69" i="4"/>
  <c r="BK69" i="4"/>
  <c r="BJ69" i="4"/>
  <c r="BI69" i="4"/>
  <c r="BF69" i="4"/>
  <c r="BE69" i="4"/>
  <c r="BD69" i="4"/>
  <c r="BC69" i="4"/>
  <c r="BB69" i="4"/>
  <c r="BA69" i="4"/>
  <c r="AZ69" i="4"/>
  <c r="BX68" i="4"/>
  <c r="BW68" i="4"/>
  <c r="BV68" i="4"/>
  <c r="BU68" i="4"/>
  <c r="BT68" i="4"/>
  <c r="BS68" i="4"/>
  <c r="BR68" i="4"/>
  <c r="BO68" i="4"/>
  <c r="BN68" i="4"/>
  <c r="BM68" i="4"/>
  <c r="BL68" i="4"/>
  <c r="BK68" i="4"/>
  <c r="BJ68" i="4"/>
  <c r="BI68" i="4"/>
  <c r="BF68" i="4"/>
  <c r="BE68" i="4"/>
  <c r="BD68" i="4"/>
  <c r="BC68" i="4"/>
  <c r="BB68" i="4"/>
  <c r="BA68" i="4"/>
  <c r="AZ68" i="4"/>
  <c r="BX67" i="4"/>
  <c r="BW67" i="4"/>
  <c r="BV67" i="4"/>
  <c r="BU67" i="4"/>
  <c r="BT67" i="4"/>
  <c r="BS67" i="4"/>
  <c r="BR67" i="4"/>
  <c r="BO67" i="4"/>
  <c r="BN67" i="4"/>
  <c r="BM67" i="4"/>
  <c r="BL67" i="4"/>
  <c r="BK67" i="4"/>
  <c r="BJ67" i="4"/>
  <c r="BI67" i="4"/>
  <c r="BF67" i="4"/>
  <c r="BE67" i="4"/>
  <c r="BD67" i="4"/>
  <c r="BC67" i="4"/>
  <c r="BB67" i="4"/>
  <c r="BA67" i="4"/>
  <c r="AZ67" i="4"/>
  <c r="BX66" i="4"/>
  <c r="BW66" i="4"/>
  <c r="BV66" i="4"/>
  <c r="BU66" i="4"/>
  <c r="BT66" i="4"/>
  <c r="BS66" i="4"/>
  <c r="BR66" i="4"/>
  <c r="BO66" i="4"/>
  <c r="BN66" i="4"/>
  <c r="BM66" i="4"/>
  <c r="BL66" i="4"/>
  <c r="BK66" i="4"/>
  <c r="BJ66" i="4"/>
  <c r="BI66" i="4"/>
  <c r="BF66" i="4"/>
  <c r="BE66" i="4"/>
  <c r="BD66" i="4"/>
  <c r="BC66" i="4"/>
  <c r="BB66" i="4"/>
  <c r="BA66" i="4"/>
  <c r="AZ66" i="4"/>
  <c r="BX65" i="4"/>
  <c r="BW65" i="4"/>
  <c r="BV65" i="4"/>
  <c r="BU65" i="4"/>
  <c r="BT65" i="4"/>
  <c r="BS65" i="4"/>
  <c r="BR65" i="4"/>
  <c r="BO65" i="4"/>
  <c r="BN65" i="4"/>
  <c r="BM65" i="4"/>
  <c r="BL65" i="4"/>
  <c r="BK65" i="4"/>
  <c r="BJ65" i="4"/>
  <c r="BI65" i="4"/>
  <c r="BF65" i="4"/>
  <c r="BE65" i="4"/>
  <c r="BD65" i="4"/>
  <c r="BC65" i="4"/>
  <c r="BB65" i="4"/>
  <c r="BA65" i="4"/>
  <c r="AZ65" i="4"/>
  <c r="BX64" i="4"/>
  <c r="BW64" i="4"/>
  <c r="BV64" i="4"/>
  <c r="BU64" i="4"/>
  <c r="BT64" i="4"/>
  <c r="BS64" i="4"/>
  <c r="BR64" i="4"/>
  <c r="BO64" i="4"/>
  <c r="BN64" i="4"/>
  <c r="BM64" i="4"/>
  <c r="BL64" i="4"/>
  <c r="BK64" i="4"/>
  <c r="BJ64" i="4"/>
  <c r="BI64" i="4"/>
  <c r="BF64" i="4"/>
  <c r="BE64" i="4"/>
  <c r="BD64" i="4"/>
  <c r="BC64" i="4"/>
  <c r="BB64" i="4"/>
  <c r="BA64" i="4"/>
  <c r="AZ64" i="4"/>
  <c r="BX63" i="4"/>
  <c r="BW63" i="4"/>
  <c r="BV63" i="4"/>
  <c r="BU63" i="4"/>
  <c r="BT63" i="4"/>
  <c r="BS63" i="4"/>
  <c r="BR63" i="4"/>
  <c r="BO63" i="4"/>
  <c r="BN63" i="4"/>
  <c r="BM63" i="4"/>
  <c r="BL63" i="4"/>
  <c r="BK63" i="4"/>
  <c r="BJ63" i="4"/>
  <c r="BI63" i="4"/>
  <c r="BF63" i="4"/>
  <c r="BE63" i="4"/>
  <c r="BD63" i="4"/>
  <c r="BC63" i="4"/>
  <c r="BB63" i="4"/>
  <c r="BA63" i="4"/>
  <c r="AZ63" i="4"/>
  <c r="BX62" i="4"/>
  <c r="BW62" i="4"/>
  <c r="BV62" i="4"/>
  <c r="BU62" i="4"/>
  <c r="BT62" i="4"/>
  <c r="BS62" i="4"/>
  <c r="BR62" i="4"/>
  <c r="BO62" i="4"/>
  <c r="BN62" i="4"/>
  <c r="BM62" i="4"/>
  <c r="BL62" i="4"/>
  <c r="BK62" i="4"/>
  <c r="BJ62" i="4"/>
  <c r="BI62" i="4"/>
  <c r="BF62" i="4"/>
  <c r="BE62" i="4"/>
  <c r="BD62" i="4"/>
  <c r="BC62" i="4"/>
  <c r="BB62" i="4"/>
  <c r="BA62" i="4"/>
  <c r="AZ62" i="4"/>
  <c r="BX61" i="4"/>
  <c r="BW61" i="4"/>
  <c r="BV61" i="4"/>
  <c r="BU61" i="4"/>
  <c r="BT61" i="4"/>
  <c r="BS61" i="4"/>
  <c r="BR61" i="4"/>
  <c r="BO61" i="4"/>
  <c r="BN61" i="4"/>
  <c r="BM61" i="4"/>
  <c r="BL61" i="4"/>
  <c r="BK61" i="4"/>
  <c r="BJ61" i="4"/>
  <c r="BI61" i="4"/>
  <c r="BF61" i="4"/>
  <c r="BE61" i="4"/>
  <c r="BD61" i="4"/>
  <c r="BC61" i="4"/>
  <c r="BB61" i="4"/>
  <c r="BA61" i="4"/>
  <c r="AZ61" i="4"/>
  <c r="BX60" i="4"/>
  <c r="BW60" i="4"/>
  <c r="BV60" i="4"/>
  <c r="BU60" i="4"/>
  <c r="BT60" i="4"/>
  <c r="BS60" i="4"/>
  <c r="BR60" i="4"/>
  <c r="BO60" i="4"/>
  <c r="BN60" i="4"/>
  <c r="BM60" i="4"/>
  <c r="BL60" i="4"/>
  <c r="BK60" i="4"/>
  <c r="BJ60" i="4"/>
  <c r="BI60" i="4"/>
  <c r="BF60" i="4"/>
  <c r="BE60" i="4"/>
  <c r="BD60" i="4"/>
  <c r="BC60" i="4"/>
  <c r="BB60" i="4"/>
  <c r="BA60" i="4"/>
  <c r="AZ60" i="4"/>
  <c r="BX59" i="4"/>
  <c r="BW59" i="4"/>
  <c r="BV59" i="4"/>
  <c r="BU59" i="4"/>
  <c r="BT59" i="4"/>
  <c r="BS59" i="4"/>
  <c r="BR59" i="4"/>
  <c r="BO59" i="4"/>
  <c r="BN59" i="4"/>
  <c r="BM59" i="4"/>
  <c r="BL59" i="4"/>
  <c r="BK59" i="4"/>
  <c r="BJ59" i="4"/>
  <c r="BI59" i="4"/>
  <c r="BF59" i="4"/>
  <c r="BE59" i="4"/>
  <c r="BD59" i="4"/>
  <c r="BC59" i="4"/>
  <c r="BB59" i="4"/>
  <c r="BA59" i="4"/>
  <c r="AZ59" i="4"/>
  <c r="BX58" i="4"/>
  <c r="BW58" i="4"/>
  <c r="BV58" i="4"/>
  <c r="BU58" i="4"/>
  <c r="BT58" i="4"/>
  <c r="BS58" i="4"/>
  <c r="BR58" i="4"/>
  <c r="BO58" i="4"/>
  <c r="BN58" i="4"/>
  <c r="BM58" i="4"/>
  <c r="BL58" i="4"/>
  <c r="BK58" i="4"/>
  <c r="BJ58" i="4"/>
  <c r="BI58" i="4"/>
  <c r="BF58" i="4"/>
  <c r="BE58" i="4"/>
  <c r="BD58" i="4"/>
  <c r="BC58" i="4"/>
  <c r="BB58" i="4"/>
  <c r="BA58" i="4"/>
  <c r="AZ58" i="4"/>
  <c r="BX57" i="4"/>
  <c r="BW57" i="4"/>
  <c r="BV57" i="4"/>
  <c r="BU57" i="4"/>
  <c r="BT57" i="4"/>
  <c r="BS57" i="4"/>
  <c r="BR57" i="4"/>
  <c r="BO57" i="4"/>
  <c r="BN57" i="4"/>
  <c r="BM57" i="4"/>
  <c r="BL57" i="4"/>
  <c r="BK57" i="4"/>
  <c r="BJ57" i="4"/>
  <c r="BI57" i="4"/>
  <c r="BF57" i="4"/>
  <c r="BE57" i="4"/>
  <c r="BD57" i="4"/>
  <c r="BC57" i="4"/>
  <c r="BB57" i="4"/>
  <c r="BA57" i="4"/>
  <c r="AZ57" i="4"/>
  <c r="BX56" i="4"/>
  <c r="BW56" i="4"/>
  <c r="BV56" i="4"/>
  <c r="BU56" i="4"/>
  <c r="BT56" i="4"/>
  <c r="BS56" i="4"/>
  <c r="BR56" i="4"/>
  <c r="BO56" i="4"/>
  <c r="BN56" i="4"/>
  <c r="BM56" i="4"/>
  <c r="BL56" i="4"/>
  <c r="BK56" i="4"/>
  <c r="BJ56" i="4"/>
  <c r="BI56" i="4"/>
  <c r="BF56" i="4"/>
  <c r="BE56" i="4"/>
  <c r="BD56" i="4"/>
  <c r="BC56" i="4"/>
  <c r="BB56" i="4"/>
  <c r="BA56" i="4"/>
  <c r="AZ56" i="4"/>
  <c r="BX55" i="4"/>
  <c r="BW55" i="4"/>
  <c r="BV55" i="4"/>
  <c r="BU55" i="4"/>
  <c r="BT55" i="4"/>
  <c r="BS55" i="4"/>
  <c r="BR55" i="4"/>
  <c r="BO55" i="4"/>
  <c r="BN55" i="4"/>
  <c r="BM55" i="4"/>
  <c r="BL55" i="4"/>
  <c r="BK55" i="4"/>
  <c r="BJ55" i="4"/>
  <c r="BI55" i="4"/>
  <c r="BF55" i="4"/>
  <c r="BE55" i="4"/>
  <c r="BD55" i="4"/>
  <c r="BC55" i="4"/>
  <c r="BB55" i="4"/>
  <c r="BA55" i="4"/>
  <c r="AZ55" i="4"/>
  <c r="BX54" i="4"/>
  <c r="BW54" i="4"/>
  <c r="BV54" i="4"/>
  <c r="BU54" i="4"/>
  <c r="BT54" i="4"/>
  <c r="BS54" i="4"/>
  <c r="BR54" i="4"/>
  <c r="BO54" i="4"/>
  <c r="BN54" i="4"/>
  <c r="BM54" i="4"/>
  <c r="BL54" i="4"/>
  <c r="BK54" i="4"/>
  <c r="BJ54" i="4"/>
  <c r="BI54" i="4"/>
  <c r="BF54" i="4"/>
  <c r="BE54" i="4"/>
  <c r="BD54" i="4"/>
  <c r="BC54" i="4"/>
  <c r="BB54" i="4"/>
  <c r="BA54" i="4"/>
  <c r="AZ54" i="4"/>
  <c r="BX53" i="4"/>
  <c r="BW53" i="4"/>
  <c r="BV53" i="4"/>
  <c r="BU53" i="4"/>
  <c r="BT53" i="4"/>
  <c r="BS53" i="4"/>
  <c r="BR53" i="4"/>
  <c r="BO53" i="4"/>
  <c r="BN53" i="4"/>
  <c r="BM53" i="4"/>
  <c r="BL53" i="4"/>
  <c r="BK53" i="4"/>
  <c r="BJ53" i="4"/>
  <c r="BI53" i="4"/>
  <c r="BF53" i="4"/>
  <c r="BE53" i="4"/>
  <c r="BD53" i="4"/>
  <c r="BC53" i="4"/>
  <c r="BB53" i="4"/>
  <c r="BA53" i="4"/>
  <c r="AZ53" i="4"/>
  <c r="BX52" i="4"/>
  <c r="BW52" i="4"/>
  <c r="BV52" i="4"/>
  <c r="BU52" i="4"/>
  <c r="BT52" i="4"/>
  <c r="BS52" i="4"/>
  <c r="BR52" i="4"/>
  <c r="BO52" i="4"/>
  <c r="BN52" i="4"/>
  <c r="BM52" i="4"/>
  <c r="BL52" i="4"/>
  <c r="BK52" i="4"/>
  <c r="BJ52" i="4"/>
  <c r="BI52" i="4"/>
  <c r="BF52" i="4"/>
  <c r="BE52" i="4"/>
  <c r="BD52" i="4"/>
  <c r="BC52" i="4"/>
  <c r="BB52" i="4"/>
  <c r="BA52" i="4"/>
  <c r="AZ52" i="4"/>
  <c r="BX51" i="4"/>
  <c r="BW51" i="4"/>
  <c r="BV51" i="4"/>
  <c r="BU51" i="4"/>
  <c r="BT51" i="4"/>
  <c r="BS51" i="4"/>
  <c r="BR51" i="4"/>
  <c r="BO51" i="4"/>
  <c r="BN51" i="4"/>
  <c r="BM51" i="4"/>
  <c r="BL51" i="4"/>
  <c r="BK51" i="4"/>
  <c r="BJ51" i="4"/>
  <c r="BI51" i="4"/>
  <c r="BF51" i="4"/>
  <c r="BE51" i="4"/>
  <c r="BD51" i="4"/>
  <c r="BC51" i="4"/>
  <c r="BB51" i="4"/>
  <c r="BA51" i="4"/>
  <c r="AZ51" i="4"/>
  <c r="BX50" i="4"/>
  <c r="BW50" i="4"/>
  <c r="BV50" i="4"/>
  <c r="BU50" i="4"/>
  <c r="BT50" i="4"/>
  <c r="BS50" i="4"/>
  <c r="BR50" i="4"/>
  <c r="BO50" i="4"/>
  <c r="BN50" i="4"/>
  <c r="BM50" i="4"/>
  <c r="BL50" i="4"/>
  <c r="BK50" i="4"/>
  <c r="BJ50" i="4"/>
  <c r="BI50" i="4"/>
  <c r="BF50" i="4"/>
  <c r="BE50" i="4"/>
  <c r="BD50" i="4"/>
  <c r="BC50" i="4"/>
  <c r="BB50" i="4"/>
  <c r="BA50" i="4"/>
  <c r="AZ50" i="4"/>
  <c r="BX49" i="4"/>
  <c r="BW49" i="4"/>
  <c r="BV49" i="4"/>
  <c r="BU49" i="4"/>
  <c r="BT49" i="4"/>
  <c r="BS49" i="4"/>
  <c r="BR49" i="4"/>
  <c r="BO49" i="4"/>
  <c r="BN49" i="4"/>
  <c r="BM49" i="4"/>
  <c r="BL49" i="4"/>
  <c r="BK49" i="4"/>
  <c r="BJ49" i="4"/>
  <c r="BI49" i="4"/>
  <c r="BF49" i="4"/>
  <c r="BE49" i="4"/>
  <c r="BD49" i="4"/>
  <c r="BC49" i="4"/>
  <c r="BB49" i="4"/>
  <c r="BA49" i="4"/>
  <c r="AZ49" i="4"/>
  <c r="BX48" i="4"/>
  <c r="BW48" i="4"/>
  <c r="BV48" i="4"/>
  <c r="BU48" i="4"/>
  <c r="BT48" i="4"/>
  <c r="BS48" i="4"/>
  <c r="BR48" i="4"/>
  <c r="BO48" i="4"/>
  <c r="BN48" i="4"/>
  <c r="BM48" i="4"/>
  <c r="BL48" i="4"/>
  <c r="BK48" i="4"/>
  <c r="BJ48" i="4"/>
  <c r="BI48" i="4"/>
  <c r="BF48" i="4"/>
  <c r="BE48" i="4"/>
  <c r="BD48" i="4"/>
  <c r="BC48" i="4"/>
  <c r="BB48" i="4"/>
  <c r="BA48" i="4"/>
  <c r="AZ48" i="4"/>
  <c r="BX47" i="4"/>
  <c r="BW47" i="4"/>
  <c r="BV47" i="4"/>
  <c r="BU47" i="4"/>
  <c r="BT47" i="4"/>
  <c r="BS47" i="4"/>
  <c r="BR47" i="4"/>
  <c r="BO47" i="4"/>
  <c r="BN47" i="4"/>
  <c r="BM47" i="4"/>
  <c r="BL47" i="4"/>
  <c r="BK47" i="4"/>
  <c r="BJ47" i="4"/>
  <c r="BI47" i="4"/>
  <c r="BF47" i="4"/>
  <c r="BE47" i="4"/>
  <c r="BD47" i="4"/>
  <c r="BC47" i="4"/>
  <c r="BB47" i="4"/>
  <c r="BA47" i="4"/>
  <c r="AZ47" i="4"/>
  <c r="BX46" i="4"/>
  <c r="BW46" i="4"/>
  <c r="BV46" i="4"/>
  <c r="BU46" i="4"/>
  <c r="BT46" i="4"/>
  <c r="BS46" i="4"/>
  <c r="BR46" i="4"/>
  <c r="BO46" i="4"/>
  <c r="BN46" i="4"/>
  <c r="BM46" i="4"/>
  <c r="BL46" i="4"/>
  <c r="BK46" i="4"/>
  <c r="BJ46" i="4"/>
  <c r="BI46" i="4"/>
  <c r="BF46" i="4"/>
  <c r="BE46" i="4"/>
  <c r="BD46" i="4"/>
  <c r="BC46" i="4"/>
  <c r="BB46" i="4"/>
  <c r="BA46" i="4"/>
  <c r="AZ46" i="4"/>
  <c r="BX45" i="4"/>
  <c r="BW45" i="4"/>
  <c r="BV45" i="4"/>
  <c r="BU45" i="4"/>
  <c r="BT45" i="4"/>
  <c r="BS45" i="4"/>
  <c r="BR45" i="4"/>
  <c r="BO45" i="4"/>
  <c r="BN45" i="4"/>
  <c r="BM45" i="4"/>
  <c r="BL45" i="4"/>
  <c r="BK45" i="4"/>
  <c r="BJ45" i="4"/>
  <c r="BI45" i="4"/>
  <c r="BF45" i="4"/>
  <c r="BE45" i="4"/>
  <c r="BD45" i="4"/>
  <c r="BC45" i="4"/>
  <c r="BB45" i="4"/>
  <c r="BA45" i="4"/>
  <c r="AZ45" i="4"/>
  <c r="BX44" i="4"/>
  <c r="BW44" i="4"/>
  <c r="BV44" i="4"/>
  <c r="BU44" i="4"/>
  <c r="BT44" i="4"/>
  <c r="BS44" i="4"/>
  <c r="BR44" i="4"/>
  <c r="BO44" i="4"/>
  <c r="BN44" i="4"/>
  <c r="BM44" i="4"/>
  <c r="BL44" i="4"/>
  <c r="BK44" i="4"/>
  <c r="BJ44" i="4"/>
  <c r="BI44" i="4"/>
  <c r="BF44" i="4"/>
  <c r="BE44" i="4"/>
  <c r="BD44" i="4"/>
  <c r="BC44" i="4"/>
  <c r="BB44" i="4"/>
  <c r="BA44" i="4"/>
  <c r="AZ44" i="4"/>
  <c r="BX43" i="4"/>
  <c r="BW43" i="4"/>
  <c r="BV43" i="4"/>
  <c r="BU43" i="4"/>
  <c r="BT43" i="4"/>
  <c r="BS43" i="4"/>
  <c r="BR43" i="4"/>
  <c r="BO43" i="4"/>
  <c r="BN43" i="4"/>
  <c r="BM43" i="4"/>
  <c r="BL43" i="4"/>
  <c r="BK43" i="4"/>
  <c r="BJ43" i="4"/>
  <c r="BI43" i="4"/>
  <c r="BF43" i="4"/>
  <c r="BE43" i="4"/>
  <c r="BD43" i="4"/>
  <c r="BC43" i="4"/>
  <c r="BB43" i="4"/>
  <c r="BA43" i="4"/>
  <c r="AZ43" i="4"/>
  <c r="BX42" i="4"/>
  <c r="BW42" i="4"/>
  <c r="BV42" i="4"/>
  <c r="BU42" i="4"/>
  <c r="BT42" i="4"/>
  <c r="BS42" i="4"/>
  <c r="BR42" i="4"/>
  <c r="BO42" i="4"/>
  <c r="BN42" i="4"/>
  <c r="BM42" i="4"/>
  <c r="BL42" i="4"/>
  <c r="BK42" i="4"/>
  <c r="BJ42" i="4"/>
  <c r="BI42" i="4"/>
  <c r="BF42" i="4"/>
  <c r="BE42" i="4"/>
  <c r="BD42" i="4"/>
  <c r="BC42" i="4"/>
  <c r="BB42" i="4"/>
  <c r="BA42" i="4"/>
  <c r="AZ42" i="4"/>
  <c r="BX41" i="4"/>
  <c r="BW41" i="4"/>
  <c r="BV41" i="4"/>
  <c r="BU41" i="4"/>
  <c r="BT41" i="4"/>
  <c r="BS41" i="4"/>
  <c r="BR41" i="4"/>
  <c r="BO41" i="4"/>
  <c r="BN41" i="4"/>
  <c r="BM41" i="4"/>
  <c r="BL41" i="4"/>
  <c r="BK41" i="4"/>
  <c r="BJ41" i="4"/>
  <c r="BI41" i="4"/>
  <c r="BF41" i="4"/>
  <c r="BE41" i="4"/>
  <c r="BD41" i="4"/>
  <c r="BC41" i="4"/>
  <c r="BB41" i="4"/>
  <c r="BA41" i="4"/>
  <c r="AZ41" i="4"/>
  <c r="BX40" i="4"/>
  <c r="BW40" i="4"/>
  <c r="BV40" i="4"/>
  <c r="BU40" i="4"/>
  <c r="BT40" i="4"/>
  <c r="BS40" i="4"/>
  <c r="BR40" i="4"/>
  <c r="BO40" i="4"/>
  <c r="BN40" i="4"/>
  <c r="BM40" i="4"/>
  <c r="BL40" i="4"/>
  <c r="BK40" i="4"/>
  <c r="BJ40" i="4"/>
  <c r="BI40" i="4"/>
  <c r="BF40" i="4"/>
  <c r="BE40" i="4"/>
  <c r="BD40" i="4"/>
  <c r="BC40" i="4"/>
  <c r="BB40" i="4"/>
  <c r="BA40" i="4"/>
  <c r="AZ40" i="4"/>
  <c r="BX39" i="4"/>
  <c r="BW39" i="4"/>
  <c r="BV39" i="4"/>
  <c r="BU39" i="4"/>
  <c r="BT39" i="4"/>
  <c r="BS39" i="4"/>
  <c r="BR39" i="4"/>
  <c r="BO39" i="4"/>
  <c r="BN39" i="4"/>
  <c r="BM39" i="4"/>
  <c r="BL39" i="4"/>
  <c r="BK39" i="4"/>
  <c r="BJ39" i="4"/>
  <c r="BI39" i="4"/>
  <c r="BF39" i="4"/>
  <c r="BE39" i="4"/>
  <c r="BD39" i="4"/>
  <c r="BC39" i="4"/>
  <c r="BB39" i="4"/>
  <c r="BA39" i="4"/>
  <c r="AZ39" i="4"/>
  <c r="BX38" i="4"/>
  <c r="BW38" i="4"/>
  <c r="BV38" i="4"/>
  <c r="BU38" i="4"/>
  <c r="BT38" i="4"/>
  <c r="BS38" i="4"/>
  <c r="BR38" i="4"/>
  <c r="BO38" i="4"/>
  <c r="BN38" i="4"/>
  <c r="BM38" i="4"/>
  <c r="BL38" i="4"/>
  <c r="BK38" i="4"/>
  <c r="BJ38" i="4"/>
  <c r="BI38" i="4"/>
  <c r="BF38" i="4"/>
  <c r="BE38" i="4"/>
  <c r="BD38" i="4"/>
  <c r="BC38" i="4"/>
  <c r="BB38" i="4"/>
  <c r="BA38" i="4"/>
  <c r="AZ38" i="4"/>
  <c r="BX37" i="4"/>
  <c r="BW37" i="4"/>
  <c r="BV37" i="4"/>
  <c r="BU37" i="4"/>
  <c r="BT37" i="4"/>
  <c r="BS37" i="4"/>
  <c r="BR37" i="4"/>
  <c r="BO37" i="4"/>
  <c r="BN37" i="4"/>
  <c r="BM37" i="4"/>
  <c r="BL37" i="4"/>
  <c r="BK37" i="4"/>
  <c r="BJ37" i="4"/>
  <c r="BI37" i="4"/>
  <c r="BF37" i="4"/>
  <c r="BE37" i="4"/>
  <c r="BD37" i="4"/>
  <c r="BC37" i="4"/>
  <c r="BB37" i="4"/>
  <c r="BA37" i="4"/>
  <c r="AZ37" i="4"/>
  <c r="BX36" i="4"/>
  <c r="BW36" i="4"/>
  <c r="BV36" i="4"/>
  <c r="BU36" i="4"/>
  <c r="BT36" i="4"/>
  <c r="BS36" i="4"/>
  <c r="BR36" i="4"/>
  <c r="BO36" i="4"/>
  <c r="BN36" i="4"/>
  <c r="BM36" i="4"/>
  <c r="BL36" i="4"/>
  <c r="BK36" i="4"/>
  <c r="BJ36" i="4"/>
  <c r="BI36" i="4"/>
  <c r="BF36" i="4"/>
  <c r="BE36" i="4"/>
  <c r="BD36" i="4"/>
  <c r="BC36" i="4"/>
  <c r="BB36" i="4"/>
  <c r="BA36" i="4"/>
  <c r="AZ36" i="4"/>
  <c r="BX35" i="4"/>
  <c r="BW35" i="4"/>
  <c r="BV35" i="4"/>
  <c r="BU35" i="4"/>
  <c r="BT35" i="4"/>
  <c r="BS35" i="4"/>
  <c r="BR35" i="4"/>
  <c r="BO35" i="4"/>
  <c r="BN35" i="4"/>
  <c r="BM35" i="4"/>
  <c r="BL35" i="4"/>
  <c r="BK35" i="4"/>
  <c r="BJ35" i="4"/>
  <c r="BI35" i="4"/>
  <c r="BF35" i="4"/>
  <c r="BE35" i="4"/>
  <c r="BD35" i="4"/>
  <c r="BC35" i="4"/>
  <c r="BB35" i="4"/>
  <c r="BA35" i="4"/>
  <c r="AZ35" i="4"/>
  <c r="BX34" i="4"/>
  <c r="BW34" i="4"/>
  <c r="BV34" i="4"/>
  <c r="BU34" i="4"/>
  <c r="BT34" i="4"/>
  <c r="BS34" i="4"/>
  <c r="BR34" i="4"/>
  <c r="BO34" i="4"/>
  <c r="BN34" i="4"/>
  <c r="BM34" i="4"/>
  <c r="BL34" i="4"/>
  <c r="BK34" i="4"/>
  <c r="BJ34" i="4"/>
  <c r="BI34" i="4"/>
  <c r="BF34" i="4"/>
  <c r="BE34" i="4"/>
  <c r="BD34" i="4"/>
  <c r="BC34" i="4"/>
  <c r="BB34" i="4"/>
  <c r="BA34" i="4"/>
  <c r="AZ34" i="4"/>
  <c r="BX33" i="4"/>
  <c r="BW33" i="4"/>
  <c r="BV33" i="4"/>
  <c r="BU33" i="4"/>
  <c r="BT33" i="4"/>
  <c r="BS33" i="4"/>
  <c r="BR33" i="4"/>
  <c r="BO33" i="4"/>
  <c r="BN33" i="4"/>
  <c r="BM33" i="4"/>
  <c r="BL33" i="4"/>
  <c r="BK33" i="4"/>
  <c r="BJ33" i="4"/>
  <c r="BI33" i="4"/>
  <c r="BF33" i="4"/>
  <c r="BE33" i="4"/>
  <c r="BD33" i="4"/>
  <c r="BC33" i="4"/>
  <c r="BB33" i="4"/>
  <c r="BA33" i="4"/>
  <c r="AZ33" i="4"/>
  <c r="BX32" i="4"/>
  <c r="BW32" i="4"/>
  <c r="BV32" i="4"/>
  <c r="BU32" i="4"/>
  <c r="BT32" i="4"/>
  <c r="BS32" i="4"/>
  <c r="BR32" i="4"/>
  <c r="BO32" i="4"/>
  <c r="BN32" i="4"/>
  <c r="BM32" i="4"/>
  <c r="BL32" i="4"/>
  <c r="BK32" i="4"/>
  <c r="BJ32" i="4"/>
  <c r="BI32" i="4"/>
  <c r="BF32" i="4"/>
  <c r="BE32" i="4"/>
  <c r="BD32" i="4"/>
  <c r="BC32" i="4"/>
  <c r="BB32" i="4"/>
  <c r="BA32" i="4"/>
  <c r="AZ32" i="4"/>
  <c r="BX31" i="4"/>
  <c r="BW31" i="4"/>
  <c r="BV31" i="4"/>
  <c r="BU31" i="4"/>
  <c r="BT31" i="4"/>
  <c r="BS31" i="4"/>
  <c r="BR31" i="4"/>
  <c r="BO31" i="4"/>
  <c r="BN31" i="4"/>
  <c r="BM31" i="4"/>
  <c r="BL31" i="4"/>
  <c r="BK31" i="4"/>
  <c r="BJ31" i="4"/>
  <c r="BI31" i="4"/>
  <c r="BF31" i="4"/>
  <c r="BE31" i="4"/>
  <c r="BD31" i="4"/>
  <c r="BC31" i="4"/>
  <c r="BB31" i="4"/>
  <c r="BA31" i="4"/>
  <c r="AZ31" i="4"/>
  <c r="BX30" i="4"/>
  <c r="BW30" i="4"/>
  <c r="BV30" i="4"/>
  <c r="BU30" i="4"/>
  <c r="BT30" i="4"/>
  <c r="BS30" i="4"/>
  <c r="BR30" i="4"/>
  <c r="BO30" i="4"/>
  <c r="BN30" i="4"/>
  <c r="BM30" i="4"/>
  <c r="BL30" i="4"/>
  <c r="BK30" i="4"/>
  <c r="BJ30" i="4"/>
  <c r="BI30" i="4"/>
  <c r="BF30" i="4"/>
  <c r="BE30" i="4"/>
  <c r="BD30" i="4"/>
  <c r="BC30" i="4"/>
  <c r="BB30" i="4"/>
  <c r="BA30" i="4"/>
  <c r="AZ30" i="4"/>
  <c r="BX29" i="4"/>
  <c r="BW29" i="4"/>
  <c r="BV29" i="4"/>
  <c r="BU29" i="4"/>
  <c r="BT29" i="4"/>
  <c r="BS29" i="4"/>
  <c r="BR29" i="4"/>
  <c r="BO29" i="4"/>
  <c r="BN29" i="4"/>
  <c r="BM29" i="4"/>
  <c r="BL29" i="4"/>
  <c r="BK29" i="4"/>
  <c r="BJ29" i="4"/>
  <c r="BI29" i="4"/>
  <c r="BF29" i="4"/>
  <c r="BE29" i="4"/>
  <c r="BD29" i="4"/>
  <c r="BC29" i="4"/>
  <c r="BB29" i="4"/>
  <c r="BA29" i="4"/>
  <c r="AZ29" i="4"/>
  <c r="BX28" i="4"/>
  <c r="BW28" i="4"/>
  <c r="BV28" i="4"/>
  <c r="BU28" i="4"/>
  <c r="BT28" i="4"/>
  <c r="BS28" i="4"/>
  <c r="BR28" i="4"/>
  <c r="BO28" i="4"/>
  <c r="BN28" i="4"/>
  <c r="BM28" i="4"/>
  <c r="BL28" i="4"/>
  <c r="BK28" i="4"/>
  <c r="BJ28" i="4"/>
  <c r="BI28" i="4"/>
  <c r="BF28" i="4"/>
  <c r="BE28" i="4"/>
  <c r="BD28" i="4"/>
  <c r="BC28" i="4"/>
  <c r="BB28" i="4"/>
  <c r="BA28" i="4"/>
  <c r="AZ28" i="4"/>
  <c r="BX27" i="4"/>
  <c r="BW27" i="4"/>
  <c r="BV27" i="4"/>
  <c r="BU27" i="4"/>
  <c r="BT27" i="4"/>
  <c r="BS27" i="4"/>
  <c r="BR27" i="4"/>
  <c r="BO27" i="4"/>
  <c r="BN27" i="4"/>
  <c r="BM27" i="4"/>
  <c r="BL27" i="4"/>
  <c r="BK27" i="4"/>
  <c r="BJ27" i="4"/>
  <c r="BI27" i="4"/>
  <c r="BF27" i="4"/>
  <c r="BE27" i="4"/>
  <c r="BD27" i="4"/>
  <c r="BC27" i="4"/>
  <c r="BB27" i="4"/>
  <c r="BA27" i="4"/>
  <c r="AZ27" i="4"/>
  <c r="BX26" i="4"/>
  <c r="BW26" i="4"/>
  <c r="BV26" i="4"/>
  <c r="BU26" i="4"/>
  <c r="BT26" i="4"/>
  <c r="BS26" i="4"/>
  <c r="BR26" i="4"/>
  <c r="BO26" i="4"/>
  <c r="BN26" i="4"/>
  <c r="BM26" i="4"/>
  <c r="BL26" i="4"/>
  <c r="BK26" i="4"/>
  <c r="BJ26" i="4"/>
  <c r="BI26" i="4"/>
  <c r="BF26" i="4"/>
  <c r="BE26" i="4"/>
  <c r="BD26" i="4"/>
  <c r="BC26" i="4"/>
  <c r="BB26" i="4"/>
  <c r="BA26" i="4"/>
  <c r="AZ26" i="4"/>
  <c r="BX25" i="4"/>
  <c r="BW25" i="4"/>
  <c r="BV25" i="4"/>
  <c r="BU25" i="4"/>
  <c r="BT25" i="4"/>
  <c r="BS25" i="4"/>
  <c r="BR25" i="4"/>
  <c r="BO25" i="4"/>
  <c r="BN25" i="4"/>
  <c r="BM25" i="4"/>
  <c r="BL25" i="4"/>
  <c r="BK25" i="4"/>
  <c r="BJ25" i="4"/>
  <c r="BI25" i="4"/>
  <c r="BF25" i="4"/>
  <c r="BE25" i="4"/>
  <c r="BD25" i="4"/>
  <c r="BC25" i="4"/>
  <c r="BB25" i="4"/>
  <c r="BA25" i="4"/>
  <c r="AZ25" i="4"/>
  <c r="BX24" i="4"/>
  <c r="BW24" i="4"/>
  <c r="BV24" i="4"/>
  <c r="BU24" i="4"/>
  <c r="BT24" i="4"/>
  <c r="BS24" i="4"/>
  <c r="BR24" i="4"/>
  <c r="BO24" i="4"/>
  <c r="BN24" i="4"/>
  <c r="BM24" i="4"/>
  <c r="BL24" i="4"/>
  <c r="BK24" i="4"/>
  <c r="BJ24" i="4"/>
  <c r="BI24" i="4"/>
  <c r="BF24" i="4"/>
  <c r="BE24" i="4"/>
  <c r="BD24" i="4"/>
  <c r="BC24" i="4"/>
  <c r="BB24" i="4"/>
  <c r="BA24" i="4"/>
  <c r="AZ24" i="4"/>
  <c r="BX23" i="4"/>
  <c r="BW23" i="4"/>
  <c r="BV23" i="4"/>
  <c r="BU23" i="4"/>
  <c r="BT23" i="4"/>
  <c r="BS23" i="4"/>
  <c r="BR23" i="4"/>
  <c r="BO23" i="4"/>
  <c r="BN23" i="4"/>
  <c r="BM23" i="4"/>
  <c r="BL23" i="4"/>
  <c r="BK23" i="4"/>
  <c r="BJ23" i="4"/>
  <c r="BI23" i="4"/>
  <c r="BF23" i="4"/>
  <c r="BE23" i="4"/>
  <c r="BD23" i="4"/>
  <c r="BC23" i="4"/>
  <c r="BB23" i="4"/>
  <c r="BA23" i="4"/>
  <c r="AZ23" i="4"/>
  <c r="BX22" i="4"/>
  <c r="BW22" i="4"/>
  <c r="BV22" i="4"/>
  <c r="BU22" i="4"/>
  <c r="BT22" i="4"/>
  <c r="BS22" i="4"/>
  <c r="BR22" i="4"/>
  <c r="BO22" i="4"/>
  <c r="BN22" i="4"/>
  <c r="BM22" i="4"/>
  <c r="BL22" i="4"/>
  <c r="BK22" i="4"/>
  <c r="BJ22" i="4"/>
  <c r="BI22" i="4"/>
  <c r="BF22" i="4"/>
  <c r="BE22" i="4"/>
  <c r="BD22" i="4"/>
  <c r="BC22" i="4"/>
  <c r="BB22" i="4"/>
  <c r="BA22" i="4"/>
  <c r="AZ22" i="4"/>
  <c r="BX21" i="4"/>
  <c r="BW21" i="4"/>
  <c r="BV21" i="4"/>
  <c r="BU21" i="4"/>
  <c r="BT21" i="4"/>
  <c r="BS21" i="4"/>
  <c r="BR21" i="4"/>
  <c r="BO21" i="4"/>
  <c r="BN21" i="4"/>
  <c r="BM21" i="4"/>
  <c r="BL21" i="4"/>
  <c r="BK21" i="4"/>
  <c r="BJ21" i="4"/>
  <c r="BI21" i="4"/>
  <c r="BF21" i="4"/>
  <c r="BE21" i="4"/>
  <c r="BD21" i="4"/>
  <c r="BC21" i="4"/>
  <c r="BB21" i="4"/>
  <c r="BA21" i="4"/>
  <c r="AZ21" i="4"/>
  <c r="BX20" i="4"/>
  <c r="BW20" i="4"/>
  <c r="BV20" i="4"/>
  <c r="BU20" i="4"/>
  <c r="BT20" i="4"/>
  <c r="BS20" i="4"/>
  <c r="BR20" i="4"/>
  <c r="BO20" i="4"/>
  <c r="BN20" i="4"/>
  <c r="BM20" i="4"/>
  <c r="BL20" i="4"/>
  <c r="BK20" i="4"/>
  <c r="BJ20" i="4"/>
  <c r="BI20" i="4"/>
  <c r="BF20" i="4"/>
  <c r="BE20" i="4"/>
  <c r="BD20" i="4"/>
  <c r="BC20" i="4"/>
  <c r="BB20" i="4"/>
  <c r="BA20" i="4"/>
  <c r="AZ20" i="4"/>
  <c r="BX19" i="4"/>
  <c r="BW19" i="4"/>
  <c r="BV19" i="4"/>
  <c r="BU19" i="4"/>
  <c r="BT19" i="4"/>
  <c r="BS19" i="4"/>
  <c r="BR19" i="4"/>
  <c r="BO19" i="4"/>
  <c r="BN19" i="4"/>
  <c r="BM19" i="4"/>
  <c r="BL19" i="4"/>
  <c r="BK19" i="4"/>
  <c r="BJ19" i="4"/>
  <c r="BI19" i="4"/>
  <c r="BF19" i="4"/>
  <c r="BE19" i="4"/>
  <c r="BD19" i="4"/>
  <c r="BC19" i="4"/>
  <c r="BB19" i="4"/>
  <c r="BA19" i="4"/>
  <c r="AZ19" i="4"/>
  <c r="BX18" i="4"/>
  <c r="BW18" i="4"/>
  <c r="BV18" i="4"/>
  <c r="BU18" i="4"/>
  <c r="BT18" i="4"/>
  <c r="BS18" i="4"/>
  <c r="BR18" i="4"/>
  <c r="BO18" i="4"/>
  <c r="BN18" i="4"/>
  <c r="BM18" i="4"/>
  <c r="BL18" i="4"/>
  <c r="BK18" i="4"/>
  <c r="BJ18" i="4"/>
  <c r="BI18" i="4"/>
  <c r="BF18" i="4"/>
  <c r="BE18" i="4"/>
  <c r="BD18" i="4"/>
  <c r="BC18" i="4"/>
  <c r="BB18" i="4"/>
  <c r="BA18" i="4"/>
  <c r="AZ18" i="4"/>
  <c r="BX17" i="4"/>
  <c r="BW17" i="4"/>
  <c r="BV17" i="4"/>
  <c r="BU17" i="4"/>
  <c r="BT17" i="4"/>
  <c r="BS17" i="4"/>
  <c r="BR17" i="4"/>
  <c r="BO17" i="4"/>
  <c r="BN17" i="4"/>
  <c r="BM17" i="4"/>
  <c r="BL17" i="4"/>
  <c r="BK17" i="4"/>
  <c r="BJ17" i="4"/>
  <c r="BI17" i="4"/>
  <c r="BF17" i="4"/>
  <c r="BE17" i="4"/>
  <c r="BD17" i="4"/>
  <c r="BC17" i="4"/>
  <c r="BB17" i="4"/>
  <c r="BA17" i="4"/>
  <c r="AZ17" i="4"/>
  <c r="BX16" i="4"/>
  <c r="BW16" i="4"/>
  <c r="BV16" i="4"/>
  <c r="BU16" i="4"/>
  <c r="BT16" i="4"/>
  <c r="BS16" i="4"/>
  <c r="BR16" i="4"/>
  <c r="BO16" i="4"/>
  <c r="BN16" i="4"/>
  <c r="BM16" i="4"/>
  <c r="BL16" i="4"/>
  <c r="BK16" i="4"/>
  <c r="BJ16" i="4"/>
  <c r="BI16" i="4"/>
  <c r="BF16" i="4"/>
  <c r="BE16" i="4"/>
  <c r="BD16" i="4"/>
  <c r="BC16" i="4"/>
  <c r="BB16" i="4"/>
  <c r="BA16" i="4"/>
  <c r="AZ16" i="4"/>
  <c r="BX15" i="4"/>
  <c r="BW15" i="4"/>
  <c r="BV15" i="4"/>
  <c r="BU15" i="4"/>
  <c r="BT15" i="4"/>
  <c r="BS15" i="4"/>
  <c r="BR15" i="4"/>
  <c r="BO15" i="4"/>
  <c r="BN15" i="4"/>
  <c r="BM15" i="4"/>
  <c r="BL15" i="4"/>
  <c r="BK15" i="4"/>
  <c r="BJ15" i="4"/>
  <c r="BI15" i="4"/>
  <c r="BF15" i="4"/>
  <c r="BE15" i="4"/>
  <c r="BD15" i="4"/>
  <c r="BC15" i="4"/>
  <c r="BB15" i="4"/>
  <c r="BA15" i="4"/>
  <c r="AZ15" i="4"/>
  <c r="BX14" i="4"/>
  <c r="BW14" i="4"/>
  <c r="BV14" i="4"/>
  <c r="BU14" i="4"/>
  <c r="BT14" i="4"/>
  <c r="BS14" i="4"/>
  <c r="BR14" i="4"/>
  <c r="BO14" i="4"/>
  <c r="BN14" i="4"/>
  <c r="BM14" i="4"/>
  <c r="BL14" i="4"/>
  <c r="BK14" i="4"/>
  <c r="BJ14" i="4"/>
  <c r="BI14" i="4"/>
  <c r="BF14" i="4"/>
  <c r="BE14" i="4"/>
  <c r="BD14" i="4"/>
  <c r="BC14" i="4"/>
  <c r="BB14" i="4"/>
  <c r="BA14" i="4"/>
  <c r="AZ14" i="4"/>
  <c r="AB14" i="4"/>
  <c r="AA14" i="4"/>
  <c r="Z14" i="4"/>
  <c r="Y14" i="4"/>
  <c r="X14" i="4"/>
  <c r="W14" i="4"/>
  <c r="V14" i="4"/>
  <c r="U14" i="4"/>
  <c r="T14" i="4"/>
  <c r="S14" i="4"/>
  <c r="R14" i="4"/>
  <c r="Q14" i="4"/>
  <c r="P14" i="4"/>
  <c r="O14" i="4"/>
  <c r="BX13" i="4"/>
  <c r="BW13" i="4"/>
  <c r="BV13" i="4"/>
  <c r="BU13" i="4"/>
  <c r="BT13" i="4"/>
  <c r="BS13" i="4"/>
  <c r="BR13" i="4"/>
  <c r="BO13" i="4"/>
  <c r="BN13" i="4"/>
  <c r="BM13" i="4"/>
  <c r="BL13" i="4"/>
  <c r="BK13" i="4"/>
  <c r="BJ13" i="4"/>
  <c r="BI13" i="4"/>
  <c r="BF13" i="4"/>
  <c r="BE13" i="4"/>
  <c r="BD13" i="4"/>
  <c r="BC13" i="4"/>
  <c r="BB13" i="4"/>
  <c r="BA13" i="4"/>
  <c r="AZ13" i="4"/>
  <c r="AJ13" i="4"/>
  <c r="AI13" i="4"/>
  <c r="AH13" i="4"/>
  <c r="AG13" i="4"/>
  <c r="AF13" i="4"/>
  <c r="AF9" i="4" s="1"/>
  <c r="AE13" i="4"/>
  <c r="AB13" i="4"/>
  <c r="AB1" i="4" s="1"/>
  <c r="AA13" i="4"/>
  <c r="Z13" i="4"/>
  <c r="Y13" i="4"/>
  <c r="X13" i="4"/>
  <c r="W13" i="4"/>
  <c r="V13" i="4"/>
  <c r="U13" i="4"/>
  <c r="T13" i="4"/>
  <c r="S13" i="4"/>
  <c r="R13" i="4"/>
  <c r="Q13" i="4"/>
  <c r="P13" i="4"/>
  <c r="O13" i="4"/>
  <c r="BX12" i="4"/>
  <c r="BW12" i="4"/>
  <c r="BV12" i="4"/>
  <c r="BU12" i="4"/>
  <c r="BT12" i="4"/>
  <c r="BS12" i="4"/>
  <c r="BR12" i="4"/>
  <c r="BO12" i="4"/>
  <c r="BN12" i="4"/>
  <c r="BM12" i="4"/>
  <c r="BL12" i="4"/>
  <c r="BK12" i="4"/>
  <c r="BJ12" i="4"/>
  <c r="BI12" i="4"/>
  <c r="BF12" i="4"/>
  <c r="BE12" i="4"/>
  <c r="BD12" i="4"/>
  <c r="BC12" i="4"/>
  <c r="BB12" i="4"/>
  <c r="BA12" i="4"/>
  <c r="AZ12" i="4"/>
  <c r="AY12" i="4"/>
  <c r="AY13" i="4" s="1"/>
  <c r="AY14" i="4" s="1"/>
  <c r="BX11" i="4"/>
  <c r="BW11" i="4"/>
  <c r="BV11" i="4"/>
  <c r="BU11" i="4"/>
  <c r="BT11" i="4"/>
  <c r="BS11" i="4"/>
  <c r="BR11" i="4"/>
  <c r="BO11" i="4"/>
  <c r="BN11" i="4"/>
  <c r="BM11" i="4"/>
  <c r="BL11" i="4"/>
  <c r="BK11" i="4"/>
  <c r="BJ11" i="4"/>
  <c r="BI11" i="4"/>
  <c r="BH11" i="4"/>
  <c r="BH115" i="4" s="1"/>
  <c r="BF11" i="4"/>
  <c r="BE11" i="4"/>
  <c r="CR11" i="4" s="1"/>
  <c r="BD11" i="4"/>
  <c r="CQ11" i="4" s="1"/>
  <c r="BC11" i="4"/>
  <c r="BB11" i="4"/>
  <c r="BA11" i="4"/>
  <c r="AZ11" i="4"/>
  <c r="CM11" i="4" s="1"/>
  <c r="AZ9" i="4"/>
  <c r="CD9" i="4" s="1"/>
  <c r="D4" i="4"/>
  <c r="D3" i="4"/>
  <c r="AY115" i="3"/>
  <c r="BX106" i="3"/>
  <c r="BW106" i="3"/>
  <c r="BV106" i="3"/>
  <c r="BU106" i="3"/>
  <c r="BT106" i="3"/>
  <c r="BS106" i="3"/>
  <c r="BR106" i="3"/>
  <c r="BO106" i="3"/>
  <c r="BN106" i="3"/>
  <c r="BM106" i="3"/>
  <c r="BL106" i="3"/>
  <c r="BK106" i="3"/>
  <c r="BJ106" i="3"/>
  <c r="BI106" i="3"/>
  <c r="BF106" i="3"/>
  <c r="BE106" i="3"/>
  <c r="BD106" i="3"/>
  <c r="BC106" i="3"/>
  <c r="BB106" i="3"/>
  <c r="BA106" i="3"/>
  <c r="BX105" i="3"/>
  <c r="BW105" i="3"/>
  <c r="BV105" i="3"/>
  <c r="BU105" i="3"/>
  <c r="BT105" i="3"/>
  <c r="BS105" i="3"/>
  <c r="BR105" i="3"/>
  <c r="BO105" i="3"/>
  <c r="BN105" i="3"/>
  <c r="BM105" i="3"/>
  <c r="BL105" i="3"/>
  <c r="BK105" i="3"/>
  <c r="BJ105" i="3"/>
  <c r="BI105" i="3"/>
  <c r="BF105" i="3"/>
  <c r="BE105" i="3"/>
  <c r="BD105" i="3"/>
  <c r="BC105" i="3"/>
  <c r="BB105" i="3"/>
  <c r="BA105" i="3"/>
  <c r="AZ105" i="3"/>
  <c r="BX104" i="3"/>
  <c r="BW104" i="3"/>
  <c r="BV104" i="3"/>
  <c r="BU104" i="3"/>
  <c r="BT104" i="3"/>
  <c r="BS104" i="3"/>
  <c r="BR104" i="3"/>
  <c r="BO104" i="3"/>
  <c r="BN104" i="3"/>
  <c r="BM104" i="3"/>
  <c r="BL104" i="3"/>
  <c r="BK104" i="3"/>
  <c r="BJ104" i="3"/>
  <c r="BI104" i="3"/>
  <c r="BF104" i="3"/>
  <c r="BE104" i="3"/>
  <c r="BD104" i="3"/>
  <c r="BC104" i="3"/>
  <c r="BB104" i="3"/>
  <c r="BA104" i="3"/>
  <c r="AZ104" i="3"/>
  <c r="BX103" i="3"/>
  <c r="BW103" i="3"/>
  <c r="BV103" i="3"/>
  <c r="BU103" i="3"/>
  <c r="BT103" i="3"/>
  <c r="BS103" i="3"/>
  <c r="BR103" i="3"/>
  <c r="BO103" i="3"/>
  <c r="BN103" i="3"/>
  <c r="BM103" i="3"/>
  <c r="BL103" i="3"/>
  <c r="BK103" i="3"/>
  <c r="BJ103" i="3"/>
  <c r="BI103" i="3"/>
  <c r="BF103" i="3"/>
  <c r="BE103" i="3"/>
  <c r="BD103" i="3"/>
  <c r="BC103" i="3"/>
  <c r="BB103" i="3"/>
  <c r="BA103" i="3"/>
  <c r="AZ103" i="3"/>
  <c r="BX102" i="3"/>
  <c r="BW102" i="3"/>
  <c r="BV102" i="3"/>
  <c r="BU102" i="3"/>
  <c r="BT102" i="3"/>
  <c r="BS102" i="3"/>
  <c r="BR102" i="3"/>
  <c r="BO102" i="3"/>
  <c r="BN102" i="3"/>
  <c r="BM102" i="3"/>
  <c r="BL102" i="3"/>
  <c r="BK102" i="3"/>
  <c r="BJ102" i="3"/>
  <c r="BI102" i="3"/>
  <c r="BF102" i="3"/>
  <c r="BE102" i="3"/>
  <c r="BD102" i="3"/>
  <c r="BC102" i="3"/>
  <c r="BB102" i="3"/>
  <c r="BA102" i="3"/>
  <c r="AZ102" i="3"/>
  <c r="BX101" i="3"/>
  <c r="BW101" i="3"/>
  <c r="BV101" i="3"/>
  <c r="BU101" i="3"/>
  <c r="BT101" i="3"/>
  <c r="BS101" i="3"/>
  <c r="BR101" i="3"/>
  <c r="BO101" i="3"/>
  <c r="BN101" i="3"/>
  <c r="BM101" i="3"/>
  <c r="BL101" i="3"/>
  <c r="BK101" i="3"/>
  <c r="BJ101" i="3"/>
  <c r="BI101" i="3"/>
  <c r="BF101" i="3"/>
  <c r="BE101" i="3"/>
  <c r="BD101" i="3"/>
  <c r="BC101" i="3"/>
  <c r="BB101" i="3"/>
  <c r="BA101" i="3"/>
  <c r="AZ101" i="3"/>
  <c r="BX100" i="3"/>
  <c r="BW100" i="3"/>
  <c r="BV100" i="3"/>
  <c r="BU100" i="3"/>
  <c r="BT100" i="3"/>
  <c r="BS100" i="3"/>
  <c r="BR100" i="3"/>
  <c r="BO100" i="3"/>
  <c r="BN100" i="3"/>
  <c r="BM100" i="3"/>
  <c r="BL100" i="3"/>
  <c r="BK100" i="3"/>
  <c r="BJ100" i="3"/>
  <c r="BI100" i="3"/>
  <c r="BF100" i="3"/>
  <c r="BE100" i="3"/>
  <c r="BD100" i="3"/>
  <c r="BC100" i="3"/>
  <c r="BB100" i="3"/>
  <c r="BA100" i="3"/>
  <c r="AZ100" i="3"/>
  <c r="BX99" i="3"/>
  <c r="BW99" i="3"/>
  <c r="BV99" i="3"/>
  <c r="BU99" i="3"/>
  <c r="BT99" i="3"/>
  <c r="BS99" i="3"/>
  <c r="BR99" i="3"/>
  <c r="BO99" i="3"/>
  <c r="BN99" i="3"/>
  <c r="BM99" i="3"/>
  <c r="BL99" i="3"/>
  <c r="BK99" i="3"/>
  <c r="BJ99" i="3"/>
  <c r="BI99" i="3"/>
  <c r="BF99" i="3"/>
  <c r="BE99" i="3"/>
  <c r="BD99" i="3"/>
  <c r="BC99" i="3"/>
  <c r="BB99" i="3"/>
  <c r="BA99" i="3"/>
  <c r="AZ99" i="3"/>
  <c r="BX98" i="3"/>
  <c r="BW98" i="3"/>
  <c r="BV98" i="3"/>
  <c r="BU98" i="3"/>
  <c r="BT98" i="3"/>
  <c r="BS98" i="3"/>
  <c r="BR98" i="3"/>
  <c r="BO98" i="3"/>
  <c r="BN98" i="3"/>
  <c r="BM98" i="3"/>
  <c r="BL98" i="3"/>
  <c r="BK98" i="3"/>
  <c r="BJ98" i="3"/>
  <c r="BI98" i="3"/>
  <c r="BF98" i="3"/>
  <c r="BE98" i="3"/>
  <c r="BD98" i="3"/>
  <c r="BC98" i="3"/>
  <c r="BB98" i="3"/>
  <c r="BA98" i="3"/>
  <c r="AZ98" i="3"/>
  <c r="BX97" i="3"/>
  <c r="BW97" i="3"/>
  <c r="BV97" i="3"/>
  <c r="BU97" i="3"/>
  <c r="BT97" i="3"/>
  <c r="BS97" i="3"/>
  <c r="BR97" i="3"/>
  <c r="BO97" i="3"/>
  <c r="BN97" i="3"/>
  <c r="BM97" i="3"/>
  <c r="BL97" i="3"/>
  <c r="BK97" i="3"/>
  <c r="BJ97" i="3"/>
  <c r="BI97" i="3"/>
  <c r="BF97" i="3"/>
  <c r="BE97" i="3"/>
  <c r="BD97" i="3"/>
  <c r="BC97" i="3"/>
  <c r="BB97" i="3"/>
  <c r="BA97" i="3"/>
  <c r="AZ97" i="3"/>
  <c r="BX96" i="3"/>
  <c r="BW96" i="3"/>
  <c r="BV96" i="3"/>
  <c r="BU96" i="3"/>
  <c r="BT96" i="3"/>
  <c r="BS96" i="3"/>
  <c r="BR96" i="3"/>
  <c r="BO96" i="3"/>
  <c r="BN96" i="3"/>
  <c r="BM96" i="3"/>
  <c r="BL96" i="3"/>
  <c r="BK96" i="3"/>
  <c r="BJ96" i="3"/>
  <c r="BI96" i="3"/>
  <c r="BF96" i="3"/>
  <c r="BE96" i="3"/>
  <c r="BD96" i="3"/>
  <c r="BC96" i="3"/>
  <c r="BB96" i="3"/>
  <c r="BA96" i="3"/>
  <c r="AZ96" i="3"/>
  <c r="BX95" i="3"/>
  <c r="BW95" i="3"/>
  <c r="BV95" i="3"/>
  <c r="BU95" i="3"/>
  <c r="BT95" i="3"/>
  <c r="BS95" i="3"/>
  <c r="BR95" i="3"/>
  <c r="BO95" i="3"/>
  <c r="BN95" i="3"/>
  <c r="BM95" i="3"/>
  <c r="BL95" i="3"/>
  <c r="BK95" i="3"/>
  <c r="BJ95" i="3"/>
  <c r="BI95" i="3"/>
  <c r="BF95" i="3"/>
  <c r="BE95" i="3"/>
  <c r="BD95" i="3"/>
  <c r="BC95" i="3"/>
  <c r="BB95" i="3"/>
  <c r="BA95" i="3"/>
  <c r="AZ95" i="3"/>
  <c r="BX94" i="3"/>
  <c r="BW94" i="3"/>
  <c r="BV94" i="3"/>
  <c r="BU94" i="3"/>
  <c r="BT94" i="3"/>
  <c r="BS94" i="3"/>
  <c r="BR94" i="3"/>
  <c r="BO94" i="3"/>
  <c r="BN94" i="3"/>
  <c r="BM94" i="3"/>
  <c r="BL94" i="3"/>
  <c r="BK94" i="3"/>
  <c r="BJ94" i="3"/>
  <c r="BI94" i="3"/>
  <c r="BF94" i="3"/>
  <c r="BE94" i="3"/>
  <c r="BD94" i="3"/>
  <c r="BC94" i="3"/>
  <c r="BB94" i="3"/>
  <c r="BA94" i="3"/>
  <c r="AZ94" i="3"/>
  <c r="BX93" i="3"/>
  <c r="BW93" i="3"/>
  <c r="BV93" i="3"/>
  <c r="BU93" i="3"/>
  <c r="BT93" i="3"/>
  <c r="BS93" i="3"/>
  <c r="BR93" i="3"/>
  <c r="BO93" i="3"/>
  <c r="BN93" i="3"/>
  <c r="BM93" i="3"/>
  <c r="BL93" i="3"/>
  <c r="BK93" i="3"/>
  <c r="BJ93" i="3"/>
  <c r="BI93" i="3"/>
  <c r="BF93" i="3"/>
  <c r="BE93" i="3"/>
  <c r="BD93" i="3"/>
  <c r="BC93" i="3"/>
  <c r="BB93" i="3"/>
  <c r="BA93" i="3"/>
  <c r="AZ93" i="3"/>
  <c r="BX92" i="3"/>
  <c r="BW92" i="3"/>
  <c r="BV92" i="3"/>
  <c r="BU92" i="3"/>
  <c r="BT92" i="3"/>
  <c r="BS92" i="3"/>
  <c r="BR92" i="3"/>
  <c r="BO92" i="3"/>
  <c r="BN92" i="3"/>
  <c r="BM92" i="3"/>
  <c r="BL92" i="3"/>
  <c r="BK92" i="3"/>
  <c r="BJ92" i="3"/>
  <c r="BI92" i="3"/>
  <c r="BF92" i="3"/>
  <c r="BE92" i="3"/>
  <c r="BD92" i="3"/>
  <c r="BC92" i="3"/>
  <c r="BB92" i="3"/>
  <c r="BA92" i="3"/>
  <c r="AZ92" i="3"/>
  <c r="BX91" i="3"/>
  <c r="BW91" i="3"/>
  <c r="BV91" i="3"/>
  <c r="BU91" i="3"/>
  <c r="BT91" i="3"/>
  <c r="BS91" i="3"/>
  <c r="BR91" i="3"/>
  <c r="BO91" i="3"/>
  <c r="BN91" i="3"/>
  <c r="BM91" i="3"/>
  <c r="BL91" i="3"/>
  <c r="BK91" i="3"/>
  <c r="BJ91" i="3"/>
  <c r="BI91" i="3"/>
  <c r="BF91" i="3"/>
  <c r="BE91" i="3"/>
  <c r="BD91" i="3"/>
  <c r="BC91" i="3"/>
  <c r="BB91" i="3"/>
  <c r="BA91" i="3"/>
  <c r="AZ91" i="3"/>
  <c r="BX90" i="3"/>
  <c r="BW90" i="3"/>
  <c r="BV90" i="3"/>
  <c r="BU90" i="3"/>
  <c r="BT90" i="3"/>
  <c r="BS90" i="3"/>
  <c r="BR90" i="3"/>
  <c r="BO90" i="3"/>
  <c r="BN90" i="3"/>
  <c r="BM90" i="3"/>
  <c r="BL90" i="3"/>
  <c r="BK90" i="3"/>
  <c r="BJ90" i="3"/>
  <c r="BI90" i="3"/>
  <c r="BF90" i="3"/>
  <c r="BE90" i="3"/>
  <c r="BD90" i="3"/>
  <c r="BC90" i="3"/>
  <c r="BB90" i="3"/>
  <c r="BA90" i="3"/>
  <c r="AZ90" i="3"/>
  <c r="BX89" i="3"/>
  <c r="BW89" i="3"/>
  <c r="BV89" i="3"/>
  <c r="BU89" i="3"/>
  <c r="BT89" i="3"/>
  <c r="BS89" i="3"/>
  <c r="BR89" i="3"/>
  <c r="BO89" i="3"/>
  <c r="BN89" i="3"/>
  <c r="BM89" i="3"/>
  <c r="BL89" i="3"/>
  <c r="BK89" i="3"/>
  <c r="BJ89" i="3"/>
  <c r="BI89" i="3"/>
  <c r="BF89" i="3"/>
  <c r="BE89" i="3"/>
  <c r="BD89" i="3"/>
  <c r="BC89" i="3"/>
  <c r="BB89" i="3"/>
  <c r="BA89" i="3"/>
  <c r="AZ89" i="3"/>
  <c r="BX88" i="3"/>
  <c r="BW88" i="3"/>
  <c r="BV88" i="3"/>
  <c r="BU88" i="3"/>
  <c r="BT88" i="3"/>
  <c r="BS88" i="3"/>
  <c r="BR88" i="3"/>
  <c r="BO88" i="3"/>
  <c r="BN88" i="3"/>
  <c r="BM88" i="3"/>
  <c r="BL88" i="3"/>
  <c r="BK88" i="3"/>
  <c r="BJ88" i="3"/>
  <c r="BI88" i="3"/>
  <c r="BF88" i="3"/>
  <c r="BE88" i="3"/>
  <c r="BD88" i="3"/>
  <c r="BC88" i="3"/>
  <c r="BB88" i="3"/>
  <c r="BA88" i="3"/>
  <c r="AZ88" i="3"/>
  <c r="BX87" i="3"/>
  <c r="BW87" i="3"/>
  <c r="BV87" i="3"/>
  <c r="BU87" i="3"/>
  <c r="BT87" i="3"/>
  <c r="BS87" i="3"/>
  <c r="BR87" i="3"/>
  <c r="BO87" i="3"/>
  <c r="BN87" i="3"/>
  <c r="BM87" i="3"/>
  <c r="BL87" i="3"/>
  <c r="BK87" i="3"/>
  <c r="BJ87" i="3"/>
  <c r="BI87" i="3"/>
  <c r="BF87" i="3"/>
  <c r="BE87" i="3"/>
  <c r="BD87" i="3"/>
  <c r="BC87" i="3"/>
  <c r="BB87" i="3"/>
  <c r="BA87" i="3"/>
  <c r="AZ87" i="3"/>
  <c r="BX86" i="3"/>
  <c r="BW86" i="3"/>
  <c r="BV86" i="3"/>
  <c r="BU86" i="3"/>
  <c r="BT86" i="3"/>
  <c r="BS86" i="3"/>
  <c r="BR86" i="3"/>
  <c r="BO86" i="3"/>
  <c r="BN86" i="3"/>
  <c r="BM86" i="3"/>
  <c r="BL86" i="3"/>
  <c r="BK86" i="3"/>
  <c r="BJ86" i="3"/>
  <c r="BI86" i="3"/>
  <c r="BF86" i="3"/>
  <c r="BE86" i="3"/>
  <c r="BD86" i="3"/>
  <c r="BC86" i="3"/>
  <c r="BB86" i="3"/>
  <c r="BA86" i="3"/>
  <c r="AZ86" i="3"/>
  <c r="BX85" i="3"/>
  <c r="BW85" i="3"/>
  <c r="BV85" i="3"/>
  <c r="BU85" i="3"/>
  <c r="BT85" i="3"/>
  <c r="BS85" i="3"/>
  <c r="BR85" i="3"/>
  <c r="BO85" i="3"/>
  <c r="BN85" i="3"/>
  <c r="BM85" i="3"/>
  <c r="BL85" i="3"/>
  <c r="BK85" i="3"/>
  <c r="BJ85" i="3"/>
  <c r="BI85" i="3"/>
  <c r="BF85" i="3"/>
  <c r="BE85" i="3"/>
  <c r="BD85" i="3"/>
  <c r="BC85" i="3"/>
  <c r="BB85" i="3"/>
  <c r="BA85" i="3"/>
  <c r="AZ85" i="3"/>
  <c r="BX84" i="3"/>
  <c r="BW84" i="3"/>
  <c r="BV84" i="3"/>
  <c r="BU84" i="3"/>
  <c r="BT84" i="3"/>
  <c r="BS84" i="3"/>
  <c r="BR84" i="3"/>
  <c r="BO84" i="3"/>
  <c r="BN84" i="3"/>
  <c r="BM84" i="3"/>
  <c r="BL84" i="3"/>
  <c r="BK84" i="3"/>
  <c r="BJ84" i="3"/>
  <c r="BI84" i="3"/>
  <c r="BF84" i="3"/>
  <c r="BE84" i="3"/>
  <c r="BD84" i="3"/>
  <c r="BC84" i="3"/>
  <c r="BB84" i="3"/>
  <c r="BA84" i="3"/>
  <c r="AZ84" i="3"/>
  <c r="BX83" i="3"/>
  <c r="BW83" i="3"/>
  <c r="BV83" i="3"/>
  <c r="BU83" i="3"/>
  <c r="BT83" i="3"/>
  <c r="BS83" i="3"/>
  <c r="BR83" i="3"/>
  <c r="BO83" i="3"/>
  <c r="BN83" i="3"/>
  <c r="BM83" i="3"/>
  <c r="BL83" i="3"/>
  <c r="BK83" i="3"/>
  <c r="BJ83" i="3"/>
  <c r="BI83" i="3"/>
  <c r="BF83" i="3"/>
  <c r="BE83" i="3"/>
  <c r="BD83" i="3"/>
  <c r="BC83" i="3"/>
  <c r="BB83" i="3"/>
  <c r="BA83" i="3"/>
  <c r="AZ83" i="3"/>
  <c r="BX82" i="3"/>
  <c r="BW82" i="3"/>
  <c r="BV82" i="3"/>
  <c r="BU82" i="3"/>
  <c r="BT82" i="3"/>
  <c r="BS82" i="3"/>
  <c r="BR82" i="3"/>
  <c r="BO82" i="3"/>
  <c r="BN82" i="3"/>
  <c r="BM82" i="3"/>
  <c r="BL82" i="3"/>
  <c r="BK82" i="3"/>
  <c r="BJ82" i="3"/>
  <c r="BI82" i="3"/>
  <c r="BF82" i="3"/>
  <c r="BE82" i="3"/>
  <c r="BD82" i="3"/>
  <c r="BC82" i="3"/>
  <c r="BB82" i="3"/>
  <c r="BA82" i="3"/>
  <c r="AZ82" i="3"/>
  <c r="BX81" i="3"/>
  <c r="BW81" i="3"/>
  <c r="BV81" i="3"/>
  <c r="BU81" i="3"/>
  <c r="BT81" i="3"/>
  <c r="BS81" i="3"/>
  <c r="BR81" i="3"/>
  <c r="BO81" i="3"/>
  <c r="BN81" i="3"/>
  <c r="BM81" i="3"/>
  <c r="BL81" i="3"/>
  <c r="BK81" i="3"/>
  <c r="BJ81" i="3"/>
  <c r="BI81" i="3"/>
  <c r="BF81" i="3"/>
  <c r="BE81" i="3"/>
  <c r="BD81" i="3"/>
  <c r="BC81" i="3"/>
  <c r="BB81" i="3"/>
  <c r="BA81" i="3"/>
  <c r="AZ81" i="3"/>
  <c r="BX80" i="3"/>
  <c r="BW80" i="3"/>
  <c r="BV80" i="3"/>
  <c r="BU80" i="3"/>
  <c r="BT80" i="3"/>
  <c r="BS80" i="3"/>
  <c r="BR80" i="3"/>
  <c r="BO80" i="3"/>
  <c r="BN80" i="3"/>
  <c r="BM80" i="3"/>
  <c r="BL80" i="3"/>
  <c r="BK80" i="3"/>
  <c r="BJ80" i="3"/>
  <c r="BI80" i="3"/>
  <c r="BF80" i="3"/>
  <c r="BE80" i="3"/>
  <c r="BD80" i="3"/>
  <c r="BC80" i="3"/>
  <c r="BB80" i="3"/>
  <c r="BA80" i="3"/>
  <c r="AZ80" i="3"/>
  <c r="BX79" i="3"/>
  <c r="BW79" i="3"/>
  <c r="BV79" i="3"/>
  <c r="BU79" i="3"/>
  <c r="BT79" i="3"/>
  <c r="BS79" i="3"/>
  <c r="BR79" i="3"/>
  <c r="BO79" i="3"/>
  <c r="BN79" i="3"/>
  <c r="BM79" i="3"/>
  <c r="BL79" i="3"/>
  <c r="BK79" i="3"/>
  <c r="BJ79" i="3"/>
  <c r="BI79" i="3"/>
  <c r="BF79" i="3"/>
  <c r="BE79" i="3"/>
  <c r="BD79" i="3"/>
  <c r="BC79" i="3"/>
  <c r="BB79" i="3"/>
  <c r="BA79" i="3"/>
  <c r="AZ79" i="3"/>
  <c r="BX78" i="3"/>
  <c r="BW78" i="3"/>
  <c r="BV78" i="3"/>
  <c r="BU78" i="3"/>
  <c r="BT78" i="3"/>
  <c r="BS78" i="3"/>
  <c r="BR78" i="3"/>
  <c r="BO78" i="3"/>
  <c r="BN78" i="3"/>
  <c r="BM78" i="3"/>
  <c r="BL78" i="3"/>
  <c r="BK78" i="3"/>
  <c r="BJ78" i="3"/>
  <c r="BI78" i="3"/>
  <c r="BF78" i="3"/>
  <c r="BE78" i="3"/>
  <c r="BD78" i="3"/>
  <c r="BC78" i="3"/>
  <c r="BB78" i="3"/>
  <c r="BA78" i="3"/>
  <c r="AZ78" i="3"/>
  <c r="BX77" i="3"/>
  <c r="BW77" i="3"/>
  <c r="BV77" i="3"/>
  <c r="BU77" i="3"/>
  <c r="BT77" i="3"/>
  <c r="BS77" i="3"/>
  <c r="BR77" i="3"/>
  <c r="BO77" i="3"/>
  <c r="BN77" i="3"/>
  <c r="BM77" i="3"/>
  <c r="BL77" i="3"/>
  <c r="BK77" i="3"/>
  <c r="BJ77" i="3"/>
  <c r="BI77" i="3"/>
  <c r="BF77" i="3"/>
  <c r="BE77" i="3"/>
  <c r="BD77" i="3"/>
  <c r="BC77" i="3"/>
  <c r="BB77" i="3"/>
  <c r="BA77" i="3"/>
  <c r="AZ77" i="3"/>
  <c r="BX76" i="3"/>
  <c r="BW76" i="3"/>
  <c r="BV76" i="3"/>
  <c r="BU76" i="3"/>
  <c r="BT76" i="3"/>
  <c r="BS76" i="3"/>
  <c r="BR76" i="3"/>
  <c r="BO76" i="3"/>
  <c r="BN76" i="3"/>
  <c r="BM76" i="3"/>
  <c r="BL76" i="3"/>
  <c r="BK76" i="3"/>
  <c r="BJ76" i="3"/>
  <c r="BI76" i="3"/>
  <c r="BF76" i="3"/>
  <c r="BE76" i="3"/>
  <c r="BD76" i="3"/>
  <c r="BC76" i="3"/>
  <c r="BB76" i="3"/>
  <c r="BA76" i="3"/>
  <c r="AZ76" i="3"/>
  <c r="BX75" i="3"/>
  <c r="BW75" i="3"/>
  <c r="BV75" i="3"/>
  <c r="BU75" i="3"/>
  <c r="BT75" i="3"/>
  <c r="BS75" i="3"/>
  <c r="BR75" i="3"/>
  <c r="BO75" i="3"/>
  <c r="BN75" i="3"/>
  <c r="BM75" i="3"/>
  <c r="BL75" i="3"/>
  <c r="BK75" i="3"/>
  <c r="BJ75" i="3"/>
  <c r="BI75" i="3"/>
  <c r="BF75" i="3"/>
  <c r="BE75" i="3"/>
  <c r="BD75" i="3"/>
  <c r="BC75" i="3"/>
  <c r="BB75" i="3"/>
  <c r="BA75" i="3"/>
  <c r="AZ75" i="3"/>
  <c r="BX74" i="3"/>
  <c r="BW74" i="3"/>
  <c r="BV74" i="3"/>
  <c r="BU74" i="3"/>
  <c r="BT74" i="3"/>
  <c r="BS74" i="3"/>
  <c r="BR74" i="3"/>
  <c r="BO74" i="3"/>
  <c r="BN74" i="3"/>
  <c r="BM74" i="3"/>
  <c r="BL74" i="3"/>
  <c r="BK74" i="3"/>
  <c r="BJ74" i="3"/>
  <c r="BI74" i="3"/>
  <c r="BF74" i="3"/>
  <c r="BE74" i="3"/>
  <c r="BD74" i="3"/>
  <c r="BC74" i="3"/>
  <c r="BB74" i="3"/>
  <c r="BA74" i="3"/>
  <c r="AZ74" i="3"/>
  <c r="BX73" i="3"/>
  <c r="BW73" i="3"/>
  <c r="BV73" i="3"/>
  <c r="BU73" i="3"/>
  <c r="BT73" i="3"/>
  <c r="BS73" i="3"/>
  <c r="BR73" i="3"/>
  <c r="BO73" i="3"/>
  <c r="BN73" i="3"/>
  <c r="BM73" i="3"/>
  <c r="BL73" i="3"/>
  <c r="BK73" i="3"/>
  <c r="BJ73" i="3"/>
  <c r="BI73" i="3"/>
  <c r="BF73" i="3"/>
  <c r="BE73" i="3"/>
  <c r="BD73" i="3"/>
  <c r="BC73" i="3"/>
  <c r="BB73" i="3"/>
  <c r="BA73" i="3"/>
  <c r="AZ73" i="3"/>
  <c r="BX72" i="3"/>
  <c r="BW72" i="3"/>
  <c r="BV72" i="3"/>
  <c r="BU72" i="3"/>
  <c r="BT72" i="3"/>
  <c r="BS72" i="3"/>
  <c r="BR72" i="3"/>
  <c r="BO72" i="3"/>
  <c r="BN72" i="3"/>
  <c r="BM72" i="3"/>
  <c r="BL72" i="3"/>
  <c r="BK72" i="3"/>
  <c r="BJ72" i="3"/>
  <c r="BI72" i="3"/>
  <c r="BF72" i="3"/>
  <c r="BE72" i="3"/>
  <c r="BD72" i="3"/>
  <c r="BC72" i="3"/>
  <c r="BB72" i="3"/>
  <c r="BA72" i="3"/>
  <c r="AZ72" i="3"/>
  <c r="BX71" i="3"/>
  <c r="BW71" i="3"/>
  <c r="BV71" i="3"/>
  <c r="BU71" i="3"/>
  <c r="BT71" i="3"/>
  <c r="BS71" i="3"/>
  <c r="BR71" i="3"/>
  <c r="BO71" i="3"/>
  <c r="BN71" i="3"/>
  <c r="BM71" i="3"/>
  <c r="BL71" i="3"/>
  <c r="BK71" i="3"/>
  <c r="BJ71" i="3"/>
  <c r="BI71" i="3"/>
  <c r="BF71" i="3"/>
  <c r="BE71" i="3"/>
  <c r="BD71" i="3"/>
  <c r="BC71" i="3"/>
  <c r="BB71" i="3"/>
  <c r="BA71" i="3"/>
  <c r="AZ71" i="3"/>
  <c r="BX70" i="3"/>
  <c r="BW70" i="3"/>
  <c r="BV70" i="3"/>
  <c r="BU70" i="3"/>
  <c r="BT70" i="3"/>
  <c r="BS70" i="3"/>
  <c r="BR70" i="3"/>
  <c r="BO70" i="3"/>
  <c r="BN70" i="3"/>
  <c r="BM70" i="3"/>
  <c r="BL70" i="3"/>
  <c r="BK70" i="3"/>
  <c r="BJ70" i="3"/>
  <c r="BI70" i="3"/>
  <c r="BF70" i="3"/>
  <c r="BE70" i="3"/>
  <c r="BD70" i="3"/>
  <c r="BC70" i="3"/>
  <c r="BB70" i="3"/>
  <c r="BA70" i="3"/>
  <c r="AZ70" i="3"/>
  <c r="BX69" i="3"/>
  <c r="BW69" i="3"/>
  <c r="BV69" i="3"/>
  <c r="BU69" i="3"/>
  <c r="BT69" i="3"/>
  <c r="BS69" i="3"/>
  <c r="BR69" i="3"/>
  <c r="BO69" i="3"/>
  <c r="BN69" i="3"/>
  <c r="BM69" i="3"/>
  <c r="BL69" i="3"/>
  <c r="BK69" i="3"/>
  <c r="BJ69" i="3"/>
  <c r="BI69" i="3"/>
  <c r="BF69" i="3"/>
  <c r="BE69" i="3"/>
  <c r="BD69" i="3"/>
  <c r="BC69" i="3"/>
  <c r="BB69" i="3"/>
  <c r="BA69" i="3"/>
  <c r="AZ69" i="3"/>
  <c r="BX68" i="3"/>
  <c r="BW68" i="3"/>
  <c r="BV68" i="3"/>
  <c r="BU68" i="3"/>
  <c r="BT68" i="3"/>
  <c r="BS68" i="3"/>
  <c r="BR68" i="3"/>
  <c r="BO68" i="3"/>
  <c r="BN68" i="3"/>
  <c r="BM68" i="3"/>
  <c r="BL68" i="3"/>
  <c r="BK68" i="3"/>
  <c r="BJ68" i="3"/>
  <c r="BI68" i="3"/>
  <c r="BF68" i="3"/>
  <c r="BE68" i="3"/>
  <c r="BD68" i="3"/>
  <c r="BC68" i="3"/>
  <c r="BB68" i="3"/>
  <c r="BA68" i="3"/>
  <c r="AZ68" i="3"/>
  <c r="BX67" i="3"/>
  <c r="BW67" i="3"/>
  <c r="BV67" i="3"/>
  <c r="BU67" i="3"/>
  <c r="BT67" i="3"/>
  <c r="BS67" i="3"/>
  <c r="BR67" i="3"/>
  <c r="BO67" i="3"/>
  <c r="BN67" i="3"/>
  <c r="BM67" i="3"/>
  <c r="BL67" i="3"/>
  <c r="BK67" i="3"/>
  <c r="BJ67" i="3"/>
  <c r="BI67" i="3"/>
  <c r="BF67" i="3"/>
  <c r="BE67" i="3"/>
  <c r="BD67" i="3"/>
  <c r="BC67" i="3"/>
  <c r="BB67" i="3"/>
  <c r="BA67" i="3"/>
  <c r="AZ67" i="3"/>
  <c r="BX66" i="3"/>
  <c r="BW66" i="3"/>
  <c r="BV66" i="3"/>
  <c r="BU66" i="3"/>
  <c r="BT66" i="3"/>
  <c r="BS66" i="3"/>
  <c r="BR66" i="3"/>
  <c r="BO66" i="3"/>
  <c r="BN66" i="3"/>
  <c r="BM66" i="3"/>
  <c r="BL66" i="3"/>
  <c r="BK66" i="3"/>
  <c r="BJ66" i="3"/>
  <c r="BI66" i="3"/>
  <c r="BF66" i="3"/>
  <c r="BE66" i="3"/>
  <c r="BD66" i="3"/>
  <c r="BC66" i="3"/>
  <c r="BB66" i="3"/>
  <c r="BA66" i="3"/>
  <c r="AZ66" i="3"/>
  <c r="BX65" i="3"/>
  <c r="BW65" i="3"/>
  <c r="BV65" i="3"/>
  <c r="BU65" i="3"/>
  <c r="BT65" i="3"/>
  <c r="BS65" i="3"/>
  <c r="BR65" i="3"/>
  <c r="BO65" i="3"/>
  <c r="BN65" i="3"/>
  <c r="BM65" i="3"/>
  <c r="BL65" i="3"/>
  <c r="BK65" i="3"/>
  <c r="BJ65" i="3"/>
  <c r="BI65" i="3"/>
  <c r="BF65" i="3"/>
  <c r="BE65" i="3"/>
  <c r="BD65" i="3"/>
  <c r="BC65" i="3"/>
  <c r="BB65" i="3"/>
  <c r="BA65" i="3"/>
  <c r="AZ65" i="3"/>
  <c r="BX64" i="3"/>
  <c r="BW64" i="3"/>
  <c r="BV64" i="3"/>
  <c r="BU64" i="3"/>
  <c r="BT64" i="3"/>
  <c r="BS64" i="3"/>
  <c r="BR64" i="3"/>
  <c r="BO64" i="3"/>
  <c r="BN64" i="3"/>
  <c r="BM64" i="3"/>
  <c r="BL64" i="3"/>
  <c r="BK64" i="3"/>
  <c r="BJ64" i="3"/>
  <c r="BI64" i="3"/>
  <c r="BF64" i="3"/>
  <c r="BE64" i="3"/>
  <c r="BD64" i="3"/>
  <c r="BC64" i="3"/>
  <c r="BB64" i="3"/>
  <c r="BA64" i="3"/>
  <c r="AZ64" i="3"/>
  <c r="BX63" i="3"/>
  <c r="BW63" i="3"/>
  <c r="BV63" i="3"/>
  <c r="BU63" i="3"/>
  <c r="BT63" i="3"/>
  <c r="BS63" i="3"/>
  <c r="BR63" i="3"/>
  <c r="BO63" i="3"/>
  <c r="BN63" i="3"/>
  <c r="BM63" i="3"/>
  <c r="BL63" i="3"/>
  <c r="BK63" i="3"/>
  <c r="BJ63" i="3"/>
  <c r="BI63" i="3"/>
  <c r="BF63" i="3"/>
  <c r="BE63" i="3"/>
  <c r="BD63" i="3"/>
  <c r="BC63" i="3"/>
  <c r="BB63" i="3"/>
  <c r="BA63" i="3"/>
  <c r="AZ63" i="3"/>
  <c r="BX62" i="3"/>
  <c r="BW62" i="3"/>
  <c r="BV62" i="3"/>
  <c r="BU62" i="3"/>
  <c r="BT62" i="3"/>
  <c r="BS62" i="3"/>
  <c r="BR62" i="3"/>
  <c r="BO62" i="3"/>
  <c r="BN62" i="3"/>
  <c r="BM62" i="3"/>
  <c r="BL62" i="3"/>
  <c r="BK62" i="3"/>
  <c r="BJ62" i="3"/>
  <c r="BI62" i="3"/>
  <c r="BF62" i="3"/>
  <c r="BE62" i="3"/>
  <c r="BD62" i="3"/>
  <c r="BC62" i="3"/>
  <c r="BB62" i="3"/>
  <c r="BA62" i="3"/>
  <c r="AZ62" i="3"/>
  <c r="BX61" i="3"/>
  <c r="BW61" i="3"/>
  <c r="BV61" i="3"/>
  <c r="BU61" i="3"/>
  <c r="BT61" i="3"/>
  <c r="BS61" i="3"/>
  <c r="BR61" i="3"/>
  <c r="BO61" i="3"/>
  <c r="BN61" i="3"/>
  <c r="BM61" i="3"/>
  <c r="BL61" i="3"/>
  <c r="BK61" i="3"/>
  <c r="BJ61" i="3"/>
  <c r="BI61" i="3"/>
  <c r="BF61" i="3"/>
  <c r="BE61" i="3"/>
  <c r="BD61" i="3"/>
  <c r="BC61" i="3"/>
  <c r="BB61" i="3"/>
  <c r="BA61" i="3"/>
  <c r="AZ61" i="3"/>
  <c r="BX60" i="3"/>
  <c r="BW60" i="3"/>
  <c r="BV60" i="3"/>
  <c r="BU60" i="3"/>
  <c r="BT60" i="3"/>
  <c r="BS60" i="3"/>
  <c r="BR60" i="3"/>
  <c r="BO60" i="3"/>
  <c r="BN60" i="3"/>
  <c r="BM60" i="3"/>
  <c r="BL60" i="3"/>
  <c r="BK60" i="3"/>
  <c r="BJ60" i="3"/>
  <c r="BI60" i="3"/>
  <c r="BF60" i="3"/>
  <c r="BE60" i="3"/>
  <c r="BD60" i="3"/>
  <c r="BC60" i="3"/>
  <c r="BB60" i="3"/>
  <c r="BA60" i="3"/>
  <c r="AZ60" i="3"/>
  <c r="BX59" i="3"/>
  <c r="BW59" i="3"/>
  <c r="BV59" i="3"/>
  <c r="BU59" i="3"/>
  <c r="BT59" i="3"/>
  <c r="BS59" i="3"/>
  <c r="BR59" i="3"/>
  <c r="BO59" i="3"/>
  <c r="BN59" i="3"/>
  <c r="BM59" i="3"/>
  <c r="BL59" i="3"/>
  <c r="BK59" i="3"/>
  <c r="BJ59" i="3"/>
  <c r="BI59" i="3"/>
  <c r="BF59" i="3"/>
  <c r="BE59" i="3"/>
  <c r="BD59" i="3"/>
  <c r="BC59" i="3"/>
  <c r="BB59" i="3"/>
  <c r="BA59" i="3"/>
  <c r="AZ59" i="3"/>
  <c r="BX58" i="3"/>
  <c r="BW58" i="3"/>
  <c r="BV58" i="3"/>
  <c r="BU58" i="3"/>
  <c r="BT58" i="3"/>
  <c r="BS58" i="3"/>
  <c r="BR58" i="3"/>
  <c r="BO58" i="3"/>
  <c r="BN58" i="3"/>
  <c r="BM58" i="3"/>
  <c r="BL58" i="3"/>
  <c r="BK58" i="3"/>
  <c r="BJ58" i="3"/>
  <c r="BI58" i="3"/>
  <c r="BF58" i="3"/>
  <c r="BE58" i="3"/>
  <c r="BD58" i="3"/>
  <c r="BC58" i="3"/>
  <c r="BB58" i="3"/>
  <c r="BA58" i="3"/>
  <c r="AZ58" i="3"/>
  <c r="BX57" i="3"/>
  <c r="BW57" i="3"/>
  <c r="BV57" i="3"/>
  <c r="BU57" i="3"/>
  <c r="BT57" i="3"/>
  <c r="BS57" i="3"/>
  <c r="BR57" i="3"/>
  <c r="BO57" i="3"/>
  <c r="BN57" i="3"/>
  <c r="BM57" i="3"/>
  <c r="BL57" i="3"/>
  <c r="BK57" i="3"/>
  <c r="BJ57" i="3"/>
  <c r="BI57" i="3"/>
  <c r="BF57" i="3"/>
  <c r="BE57" i="3"/>
  <c r="BD57" i="3"/>
  <c r="BC57" i="3"/>
  <c r="BB57" i="3"/>
  <c r="BA57" i="3"/>
  <c r="AZ57" i="3"/>
  <c r="BX56" i="3"/>
  <c r="BW56" i="3"/>
  <c r="BV56" i="3"/>
  <c r="BU56" i="3"/>
  <c r="BT56" i="3"/>
  <c r="BS56" i="3"/>
  <c r="BR56" i="3"/>
  <c r="BO56" i="3"/>
  <c r="BN56" i="3"/>
  <c r="BM56" i="3"/>
  <c r="BL56" i="3"/>
  <c r="BK56" i="3"/>
  <c r="BJ56" i="3"/>
  <c r="BI56" i="3"/>
  <c r="BF56" i="3"/>
  <c r="BE56" i="3"/>
  <c r="BD56" i="3"/>
  <c r="BC56" i="3"/>
  <c r="BB56" i="3"/>
  <c r="BA56" i="3"/>
  <c r="AZ56" i="3"/>
  <c r="BX55" i="3"/>
  <c r="BW55" i="3"/>
  <c r="BV55" i="3"/>
  <c r="BU55" i="3"/>
  <c r="BT55" i="3"/>
  <c r="BS55" i="3"/>
  <c r="BR55" i="3"/>
  <c r="BO55" i="3"/>
  <c r="BN55" i="3"/>
  <c r="BM55" i="3"/>
  <c r="BL55" i="3"/>
  <c r="BK55" i="3"/>
  <c r="BJ55" i="3"/>
  <c r="BI55" i="3"/>
  <c r="BF55" i="3"/>
  <c r="BE55" i="3"/>
  <c r="BD55" i="3"/>
  <c r="BC55" i="3"/>
  <c r="BB55" i="3"/>
  <c r="BA55" i="3"/>
  <c r="AZ55" i="3"/>
  <c r="BX54" i="3"/>
  <c r="BW54" i="3"/>
  <c r="BV54" i="3"/>
  <c r="BU54" i="3"/>
  <c r="BT54" i="3"/>
  <c r="BS54" i="3"/>
  <c r="BR54" i="3"/>
  <c r="BO54" i="3"/>
  <c r="BN54" i="3"/>
  <c r="BM54" i="3"/>
  <c r="BL54" i="3"/>
  <c r="BK54" i="3"/>
  <c r="BJ54" i="3"/>
  <c r="BI54" i="3"/>
  <c r="BF54" i="3"/>
  <c r="BE54" i="3"/>
  <c r="BD54" i="3"/>
  <c r="BC54" i="3"/>
  <c r="BB54" i="3"/>
  <c r="BA54" i="3"/>
  <c r="AZ54" i="3"/>
  <c r="BX53" i="3"/>
  <c r="BW53" i="3"/>
  <c r="BV53" i="3"/>
  <c r="BU53" i="3"/>
  <c r="BT53" i="3"/>
  <c r="BS53" i="3"/>
  <c r="BR53" i="3"/>
  <c r="BO53" i="3"/>
  <c r="BN53" i="3"/>
  <c r="BM53" i="3"/>
  <c r="BL53" i="3"/>
  <c r="BK53" i="3"/>
  <c r="BJ53" i="3"/>
  <c r="BI53" i="3"/>
  <c r="BF53" i="3"/>
  <c r="BE53" i="3"/>
  <c r="BD53" i="3"/>
  <c r="BC53" i="3"/>
  <c r="BB53" i="3"/>
  <c r="BA53" i="3"/>
  <c r="AZ53" i="3"/>
  <c r="BX52" i="3"/>
  <c r="BW52" i="3"/>
  <c r="BV52" i="3"/>
  <c r="BU52" i="3"/>
  <c r="BT52" i="3"/>
  <c r="BS52" i="3"/>
  <c r="BR52" i="3"/>
  <c r="BO52" i="3"/>
  <c r="BN52" i="3"/>
  <c r="BM52" i="3"/>
  <c r="BL52" i="3"/>
  <c r="BK52" i="3"/>
  <c r="BJ52" i="3"/>
  <c r="BI52" i="3"/>
  <c r="BF52" i="3"/>
  <c r="BE52" i="3"/>
  <c r="BD52" i="3"/>
  <c r="BC52" i="3"/>
  <c r="BB52" i="3"/>
  <c r="BA52" i="3"/>
  <c r="AZ52" i="3"/>
  <c r="BX51" i="3"/>
  <c r="BW51" i="3"/>
  <c r="BV51" i="3"/>
  <c r="BU51" i="3"/>
  <c r="BT51" i="3"/>
  <c r="BS51" i="3"/>
  <c r="BR51" i="3"/>
  <c r="BO51" i="3"/>
  <c r="BN51" i="3"/>
  <c r="BM51" i="3"/>
  <c r="BL51" i="3"/>
  <c r="BK51" i="3"/>
  <c r="BJ51" i="3"/>
  <c r="BI51" i="3"/>
  <c r="BF51" i="3"/>
  <c r="BE51" i="3"/>
  <c r="BD51" i="3"/>
  <c r="BC51" i="3"/>
  <c r="BB51" i="3"/>
  <c r="BA51" i="3"/>
  <c r="AZ51" i="3"/>
  <c r="BX50" i="3"/>
  <c r="BW50" i="3"/>
  <c r="BV50" i="3"/>
  <c r="BU50" i="3"/>
  <c r="BT50" i="3"/>
  <c r="BS50" i="3"/>
  <c r="BR50" i="3"/>
  <c r="BO50" i="3"/>
  <c r="BN50" i="3"/>
  <c r="BM50" i="3"/>
  <c r="BL50" i="3"/>
  <c r="BK50" i="3"/>
  <c r="BJ50" i="3"/>
  <c r="BI50" i="3"/>
  <c r="BF50" i="3"/>
  <c r="BE50" i="3"/>
  <c r="BD50" i="3"/>
  <c r="BC50" i="3"/>
  <c r="BB50" i="3"/>
  <c r="BA50" i="3"/>
  <c r="AZ50" i="3"/>
  <c r="BX49" i="3"/>
  <c r="BW49" i="3"/>
  <c r="BV49" i="3"/>
  <c r="BU49" i="3"/>
  <c r="BT49" i="3"/>
  <c r="BS49" i="3"/>
  <c r="BR49" i="3"/>
  <c r="BO49" i="3"/>
  <c r="BN49" i="3"/>
  <c r="BM49" i="3"/>
  <c r="BL49" i="3"/>
  <c r="BK49" i="3"/>
  <c r="BJ49" i="3"/>
  <c r="BI49" i="3"/>
  <c r="BF49" i="3"/>
  <c r="BE49" i="3"/>
  <c r="BD49" i="3"/>
  <c r="BC49" i="3"/>
  <c r="BB49" i="3"/>
  <c r="BA49" i="3"/>
  <c r="AZ49" i="3"/>
  <c r="BX48" i="3"/>
  <c r="BW48" i="3"/>
  <c r="BV48" i="3"/>
  <c r="BU48" i="3"/>
  <c r="BT48" i="3"/>
  <c r="BS48" i="3"/>
  <c r="BR48" i="3"/>
  <c r="BO48" i="3"/>
  <c r="BN48" i="3"/>
  <c r="BM48" i="3"/>
  <c r="BL48" i="3"/>
  <c r="BK48" i="3"/>
  <c r="BJ48" i="3"/>
  <c r="BI48" i="3"/>
  <c r="BF48" i="3"/>
  <c r="BE48" i="3"/>
  <c r="BD48" i="3"/>
  <c r="BC48" i="3"/>
  <c r="BB48" i="3"/>
  <c r="BA48" i="3"/>
  <c r="AZ48" i="3"/>
  <c r="BX47" i="3"/>
  <c r="BW47" i="3"/>
  <c r="BV47" i="3"/>
  <c r="BU47" i="3"/>
  <c r="BT47" i="3"/>
  <c r="BS47" i="3"/>
  <c r="BR47" i="3"/>
  <c r="BO47" i="3"/>
  <c r="BN47" i="3"/>
  <c r="BM47" i="3"/>
  <c r="BL47" i="3"/>
  <c r="BK47" i="3"/>
  <c r="BJ47" i="3"/>
  <c r="BI47" i="3"/>
  <c r="BF47" i="3"/>
  <c r="BE47" i="3"/>
  <c r="BD47" i="3"/>
  <c r="BC47" i="3"/>
  <c r="BB47" i="3"/>
  <c r="BA47" i="3"/>
  <c r="AZ47" i="3"/>
  <c r="BX46" i="3"/>
  <c r="BW46" i="3"/>
  <c r="BV46" i="3"/>
  <c r="BU46" i="3"/>
  <c r="BT46" i="3"/>
  <c r="BS46" i="3"/>
  <c r="BR46" i="3"/>
  <c r="BO46" i="3"/>
  <c r="BN46" i="3"/>
  <c r="BM46" i="3"/>
  <c r="BL46" i="3"/>
  <c r="BK46" i="3"/>
  <c r="BJ46" i="3"/>
  <c r="BI46" i="3"/>
  <c r="BF46" i="3"/>
  <c r="BE46" i="3"/>
  <c r="BD46" i="3"/>
  <c r="BC46" i="3"/>
  <c r="BB46" i="3"/>
  <c r="BA46" i="3"/>
  <c r="AZ46" i="3"/>
  <c r="BX45" i="3"/>
  <c r="BW45" i="3"/>
  <c r="BV45" i="3"/>
  <c r="BU45" i="3"/>
  <c r="BT45" i="3"/>
  <c r="BS45" i="3"/>
  <c r="BR45" i="3"/>
  <c r="BO45" i="3"/>
  <c r="BN45" i="3"/>
  <c r="BM45" i="3"/>
  <c r="BL45" i="3"/>
  <c r="BK45" i="3"/>
  <c r="BJ45" i="3"/>
  <c r="BI45" i="3"/>
  <c r="BF45" i="3"/>
  <c r="BE45" i="3"/>
  <c r="BD45" i="3"/>
  <c r="BC45" i="3"/>
  <c r="BB45" i="3"/>
  <c r="BA45" i="3"/>
  <c r="AZ45" i="3"/>
  <c r="BX44" i="3"/>
  <c r="BW44" i="3"/>
  <c r="BV44" i="3"/>
  <c r="BU44" i="3"/>
  <c r="BT44" i="3"/>
  <c r="BS44" i="3"/>
  <c r="BR44" i="3"/>
  <c r="BO44" i="3"/>
  <c r="BN44" i="3"/>
  <c r="BM44" i="3"/>
  <c r="BL44" i="3"/>
  <c r="BK44" i="3"/>
  <c r="BJ44" i="3"/>
  <c r="BI44" i="3"/>
  <c r="BF44" i="3"/>
  <c r="BE44" i="3"/>
  <c r="BD44" i="3"/>
  <c r="BC44" i="3"/>
  <c r="BB44" i="3"/>
  <c r="BA44" i="3"/>
  <c r="AZ44" i="3"/>
  <c r="BX43" i="3"/>
  <c r="BW43" i="3"/>
  <c r="BV43" i="3"/>
  <c r="BU43" i="3"/>
  <c r="BT43" i="3"/>
  <c r="BS43" i="3"/>
  <c r="BR43" i="3"/>
  <c r="BO43" i="3"/>
  <c r="BN43" i="3"/>
  <c r="BM43" i="3"/>
  <c r="BL43" i="3"/>
  <c r="BK43" i="3"/>
  <c r="BJ43" i="3"/>
  <c r="BI43" i="3"/>
  <c r="BF43" i="3"/>
  <c r="BE43" i="3"/>
  <c r="BD43" i="3"/>
  <c r="BC43" i="3"/>
  <c r="BB43" i="3"/>
  <c r="BA43" i="3"/>
  <c r="AZ43" i="3"/>
  <c r="BX42" i="3"/>
  <c r="BW42" i="3"/>
  <c r="BV42" i="3"/>
  <c r="BU42" i="3"/>
  <c r="BT42" i="3"/>
  <c r="BS42" i="3"/>
  <c r="BR42" i="3"/>
  <c r="BO42" i="3"/>
  <c r="BN42" i="3"/>
  <c r="BM42" i="3"/>
  <c r="BL42" i="3"/>
  <c r="BK42" i="3"/>
  <c r="BJ42" i="3"/>
  <c r="BI42" i="3"/>
  <c r="BF42" i="3"/>
  <c r="BE42" i="3"/>
  <c r="BD42" i="3"/>
  <c r="BC42" i="3"/>
  <c r="BB42" i="3"/>
  <c r="BA42" i="3"/>
  <c r="AZ42" i="3"/>
  <c r="BX41" i="3"/>
  <c r="BW41" i="3"/>
  <c r="BV41" i="3"/>
  <c r="BU41" i="3"/>
  <c r="BT41" i="3"/>
  <c r="BS41" i="3"/>
  <c r="BR41" i="3"/>
  <c r="BO41" i="3"/>
  <c r="BN41" i="3"/>
  <c r="BM41" i="3"/>
  <c r="BL41" i="3"/>
  <c r="BK41" i="3"/>
  <c r="BJ41" i="3"/>
  <c r="BI41" i="3"/>
  <c r="BF41" i="3"/>
  <c r="BE41" i="3"/>
  <c r="BD41" i="3"/>
  <c r="BC41" i="3"/>
  <c r="BB41" i="3"/>
  <c r="BA41" i="3"/>
  <c r="AZ41" i="3"/>
  <c r="BX40" i="3"/>
  <c r="BW40" i="3"/>
  <c r="BV40" i="3"/>
  <c r="BU40" i="3"/>
  <c r="BT40" i="3"/>
  <c r="BS40" i="3"/>
  <c r="BR40" i="3"/>
  <c r="BO40" i="3"/>
  <c r="BN40" i="3"/>
  <c r="BM40" i="3"/>
  <c r="BL40" i="3"/>
  <c r="BK40" i="3"/>
  <c r="BJ40" i="3"/>
  <c r="BI40" i="3"/>
  <c r="BF40" i="3"/>
  <c r="BE40" i="3"/>
  <c r="BD40" i="3"/>
  <c r="BC40" i="3"/>
  <c r="BB40" i="3"/>
  <c r="BA40" i="3"/>
  <c r="AZ40" i="3"/>
  <c r="BX39" i="3"/>
  <c r="BW39" i="3"/>
  <c r="BV39" i="3"/>
  <c r="BU39" i="3"/>
  <c r="BT39" i="3"/>
  <c r="BS39" i="3"/>
  <c r="BR39" i="3"/>
  <c r="BO39" i="3"/>
  <c r="BN39" i="3"/>
  <c r="BM39" i="3"/>
  <c r="BL39" i="3"/>
  <c r="BK39" i="3"/>
  <c r="BJ39" i="3"/>
  <c r="BI39" i="3"/>
  <c r="BF39" i="3"/>
  <c r="BE39" i="3"/>
  <c r="BD39" i="3"/>
  <c r="BC39" i="3"/>
  <c r="BB39" i="3"/>
  <c r="BA39" i="3"/>
  <c r="AZ39" i="3"/>
  <c r="BX38" i="3"/>
  <c r="BW38" i="3"/>
  <c r="BV38" i="3"/>
  <c r="BU38" i="3"/>
  <c r="BT38" i="3"/>
  <c r="BS38" i="3"/>
  <c r="BR38" i="3"/>
  <c r="BO38" i="3"/>
  <c r="BN38" i="3"/>
  <c r="BM38" i="3"/>
  <c r="BL38" i="3"/>
  <c r="BK38" i="3"/>
  <c r="BJ38" i="3"/>
  <c r="BI38" i="3"/>
  <c r="BF38" i="3"/>
  <c r="BE38" i="3"/>
  <c r="BD38" i="3"/>
  <c r="BC38" i="3"/>
  <c r="BB38" i="3"/>
  <c r="BA38" i="3"/>
  <c r="AZ38" i="3"/>
  <c r="BX37" i="3"/>
  <c r="BW37" i="3"/>
  <c r="BV37" i="3"/>
  <c r="BU37" i="3"/>
  <c r="BT37" i="3"/>
  <c r="BS37" i="3"/>
  <c r="BR37" i="3"/>
  <c r="BO37" i="3"/>
  <c r="BN37" i="3"/>
  <c r="BM37" i="3"/>
  <c r="BL37" i="3"/>
  <c r="BK37" i="3"/>
  <c r="BJ37" i="3"/>
  <c r="BI37" i="3"/>
  <c r="BF37" i="3"/>
  <c r="BE37" i="3"/>
  <c r="BD37" i="3"/>
  <c r="BC37" i="3"/>
  <c r="BB37" i="3"/>
  <c r="BA37" i="3"/>
  <c r="AZ37" i="3"/>
  <c r="BX36" i="3"/>
  <c r="BW36" i="3"/>
  <c r="BV36" i="3"/>
  <c r="BU36" i="3"/>
  <c r="BT36" i="3"/>
  <c r="BS36" i="3"/>
  <c r="BR36" i="3"/>
  <c r="BO36" i="3"/>
  <c r="BN36" i="3"/>
  <c r="BM36" i="3"/>
  <c r="BL36" i="3"/>
  <c r="BK36" i="3"/>
  <c r="BJ36" i="3"/>
  <c r="BI36" i="3"/>
  <c r="BF36" i="3"/>
  <c r="BE36" i="3"/>
  <c r="BD36" i="3"/>
  <c r="BC36" i="3"/>
  <c r="BB36" i="3"/>
  <c r="BA36" i="3"/>
  <c r="AZ36" i="3"/>
  <c r="BX35" i="3"/>
  <c r="BW35" i="3"/>
  <c r="BV35" i="3"/>
  <c r="BU35" i="3"/>
  <c r="BT35" i="3"/>
  <c r="BS35" i="3"/>
  <c r="BR35" i="3"/>
  <c r="BO35" i="3"/>
  <c r="BN35" i="3"/>
  <c r="BM35" i="3"/>
  <c r="BL35" i="3"/>
  <c r="BK35" i="3"/>
  <c r="BJ35" i="3"/>
  <c r="BI35" i="3"/>
  <c r="BF35" i="3"/>
  <c r="BE35" i="3"/>
  <c r="BD35" i="3"/>
  <c r="BC35" i="3"/>
  <c r="BB35" i="3"/>
  <c r="BA35" i="3"/>
  <c r="AZ35" i="3"/>
  <c r="BX34" i="3"/>
  <c r="BW34" i="3"/>
  <c r="BV34" i="3"/>
  <c r="BU34" i="3"/>
  <c r="BT34" i="3"/>
  <c r="BS34" i="3"/>
  <c r="BR34" i="3"/>
  <c r="BO34" i="3"/>
  <c r="BN34" i="3"/>
  <c r="BM34" i="3"/>
  <c r="BL34" i="3"/>
  <c r="BK34" i="3"/>
  <c r="BJ34" i="3"/>
  <c r="BI34" i="3"/>
  <c r="BF34" i="3"/>
  <c r="BE34" i="3"/>
  <c r="BD34" i="3"/>
  <c r="BC34" i="3"/>
  <c r="BB34" i="3"/>
  <c r="BA34" i="3"/>
  <c r="AZ34" i="3"/>
  <c r="BX33" i="3"/>
  <c r="BW33" i="3"/>
  <c r="BV33" i="3"/>
  <c r="BU33" i="3"/>
  <c r="BT33" i="3"/>
  <c r="BS33" i="3"/>
  <c r="BR33" i="3"/>
  <c r="BO33" i="3"/>
  <c r="BN33" i="3"/>
  <c r="BM33" i="3"/>
  <c r="BL33" i="3"/>
  <c r="BK33" i="3"/>
  <c r="BJ33" i="3"/>
  <c r="BI33" i="3"/>
  <c r="BF33" i="3"/>
  <c r="BE33" i="3"/>
  <c r="BD33" i="3"/>
  <c r="BC33" i="3"/>
  <c r="BB33" i="3"/>
  <c r="BA33" i="3"/>
  <c r="AZ33" i="3"/>
  <c r="BX32" i="3"/>
  <c r="BW32" i="3"/>
  <c r="BV32" i="3"/>
  <c r="BU32" i="3"/>
  <c r="BT32" i="3"/>
  <c r="BS32" i="3"/>
  <c r="BR32" i="3"/>
  <c r="BO32" i="3"/>
  <c r="BN32" i="3"/>
  <c r="BM32" i="3"/>
  <c r="BL32" i="3"/>
  <c r="BK32" i="3"/>
  <c r="BJ32" i="3"/>
  <c r="BI32" i="3"/>
  <c r="BF32" i="3"/>
  <c r="BE32" i="3"/>
  <c r="BD32" i="3"/>
  <c r="BC32" i="3"/>
  <c r="BB32" i="3"/>
  <c r="BA32" i="3"/>
  <c r="AZ32" i="3"/>
  <c r="BX31" i="3"/>
  <c r="BW31" i="3"/>
  <c r="BV31" i="3"/>
  <c r="BU31" i="3"/>
  <c r="BT31" i="3"/>
  <c r="BS31" i="3"/>
  <c r="BR31" i="3"/>
  <c r="BO31" i="3"/>
  <c r="BN31" i="3"/>
  <c r="BM31" i="3"/>
  <c r="BL31" i="3"/>
  <c r="BK31" i="3"/>
  <c r="BJ31" i="3"/>
  <c r="BI31" i="3"/>
  <c r="BF31" i="3"/>
  <c r="BE31" i="3"/>
  <c r="BD31" i="3"/>
  <c r="BC31" i="3"/>
  <c r="BB31" i="3"/>
  <c r="BA31" i="3"/>
  <c r="AZ31" i="3"/>
  <c r="BX30" i="3"/>
  <c r="BW30" i="3"/>
  <c r="BV30" i="3"/>
  <c r="BU30" i="3"/>
  <c r="BT30" i="3"/>
  <c r="BS30" i="3"/>
  <c r="BR30" i="3"/>
  <c r="BO30" i="3"/>
  <c r="BN30" i="3"/>
  <c r="BM30" i="3"/>
  <c r="BL30" i="3"/>
  <c r="BK30" i="3"/>
  <c r="BJ30" i="3"/>
  <c r="BI30" i="3"/>
  <c r="BF30" i="3"/>
  <c r="BE30" i="3"/>
  <c r="BD30" i="3"/>
  <c r="BC30" i="3"/>
  <c r="BB30" i="3"/>
  <c r="BA30" i="3"/>
  <c r="AZ30" i="3"/>
  <c r="BX29" i="3"/>
  <c r="BW29" i="3"/>
  <c r="BV29" i="3"/>
  <c r="BU29" i="3"/>
  <c r="BT29" i="3"/>
  <c r="BS29" i="3"/>
  <c r="BR29" i="3"/>
  <c r="BO29" i="3"/>
  <c r="BN29" i="3"/>
  <c r="BM29" i="3"/>
  <c r="BL29" i="3"/>
  <c r="BK29" i="3"/>
  <c r="BJ29" i="3"/>
  <c r="BI29" i="3"/>
  <c r="BF29" i="3"/>
  <c r="BE29" i="3"/>
  <c r="BD29" i="3"/>
  <c r="BC29" i="3"/>
  <c r="BB29" i="3"/>
  <c r="BA29" i="3"/>
  <c r="AZ29" i="3"/>
  <c r="BX28" i="3"/>
  <c r="BW28" i="3"/>
  <c r="BV28" i="3"/>
  <c r="BU28" i="3"/>
  <c r="BT28" i="3"/>
  <c r="BS28" i="3"/>
  <c r="BR28" i="3"/>
  <c r="BO28" i="3"/>
  <c r="BN28" i="3"/>
  <c r="BM28" i="3"/>
  <c r="BL28" i="3"/>
  <c r="BK28" i="3"/>
  <c r="BJ28" i="3"/>
  <c r="BI28" i="3"/>
  <c r="BF28" i="3"/>
  <c r="BE28" i="3"/>
  <c r="BD28" i="3"/>
  <c r="BC28" i="3"/>
  <c r="BB28" i="3"/>
  <c r="BA28" i="3"/>
  <c r="AZ28" i="3"/>
  <c r="BX27" i="3"/>
  <c r="BW27" i="3"/>
  <c r="BV27" i="3"/>
  <c r="BU27" i="3"/>
  <c r="BT27" i="3"/>
  <c r="BS27" i="3"/>
  <c r="BR27" i="3"/>
  <c r="BO27" i="3"/>
  <c r="BN27" i="3"/>
  <c r="BM27" i="3"/>
  <c r="BL27" i="3"/>
  <c r="BK27" i="3"/>
  <c r="BJ27" i="3"/>
  <c r="BI27" i="3"/>
  <c r="BF27" i="3"/>
  <c r="BE27" i="3"/>
  <c r="BD27" i="3"/>
  <c r="BC27" i="3"/>
  <c r="BB27" i="3"/>
  <c r="BA27" i="3"/>
  <c r="AZ27" i="3"/>
  <c r="BX26" i="3"/>
  <c r="BW26" i="3"/>
  <c r="BV26" i="3"/>
  <c r="BU26" i="3"/>
  <c r="BT26" i="3"/>
  <c r="BS26" i="3"/>
  <c r="BR26" i="3"/>
  <c r="BO26" i="3"/>
  <c r="BN26" i="3"/>
  <c r="BM26" i="3"/>
  <c r="BL26" i="3"/>
  <c r="BK26" i="3"/>
  <c r="BJ26" i="3"/>
  <c r="BI26" i="3"/>
  <c r="BF26" i="3"/>
  <c r="BE26" i="3"/>
  <c r="BD26" i="3"/>
  <c r="BC26" i="3"/>
  <c r="BB26" i="3"/>
  <c r="BA26" i="3"/>
  <c r="AZ26" i="3"/>
  <c r="BX25" i="3"/>
  <c r="BW25" i="3"/>
  <c r="BV25" i="3"/>
  <c r="BU25" i="3"/>
  <c r="BT25" i="3"/>
  <c r="BS25" i="3"/>
  <c r="BR25" i="3"/>
  <c r="BO25" i="3"/>
  <c r="BN25" i="3"/>
  <c r="BM25" i="3"/>
  <c r="BL25" i="3"/>
  <c r="BK25" i="3"/>
  <c r="BJ25" i="3"/>
  <c r="BI25" i="3"/>
  <c r="BF25" i="3"/>
  <c r="BE25" i="3"/>
  <c r="BD25" i="3"/>
  <c r="BC25" i="3"/>
  <c r="BB25" i="3"/>
  <c r="BA25" i="3"/>
  <c r="AZ25" i="3"/>
  <c r="BX24" i="3"/>
  <c r="BW24" i="3"/>
  <c r="BV24" i="3"/>
  <c r="BU24" i="3"/>
  <c r="BT24" i="3"/>
  <c r="BS24" i="3"/>
  <c r="BR24" i="3"/>
  <c r="BO24" i="3"/>
  <c r="BN24" i="3"/>
  <c r="BM24" i="3"/>
  <c r="BL24" i="3"/>
  <c r="BK24" i="3"/>
  <c r="BJ24" i="3"/>
  <c r="BI24" i="3"/>
  <c r="BF24" i="3"/>
  <c r="BE24" i="3"/>
  <c r="BD24" i="3"/>
  <c r="BC24" i="3"/>
  <c r="BB24" i="3"/>
  <c r="BA24" i="3"/>
  <c r="AZ24" i="3"/>
  <c r="BX23" i="3"/>
  <c r="BW23" i="3"/>
  <c r="BV23" i="3"/>
  <c r="BU23" i="3"/>
  <c r="BT23" i="3"/>
  <c r="BS23" i="3"/>
  <c r="BR23" i="3"/>
  <c r="BO23" i="3"/>
  <c r="BN23" i="3"/>
  <c r="BM23" i="3"/>
  <c r="BL23" i="3"/>
  <c r="BK23" i="3"/>
  <c r="BJ23" i="3"/>
  <c r="BI23" i="3"/>
  <c r="BF23" i="3"/>
  <c r="BE23" i="3"/>
  <c r="BD23" i="3"/>
  <c r="BC23" i="3"/>
  <c r="BB23" i="3"/>
  <c r="BA23" i="3"/>
  <c r="AZ23" i="3"/>
  <c r="BX22" i="3"/>
  <c r="BW22" i="3"/>
  <c r="BV22" i="3"/>
  <c r="BU22" i="3"/>
  <c r="BT22" i="3"/>
  <c r="BS22" i="3"/>
  <c r="BR22" i="3"/>
  <c r="BO22" i="3"/>
  <c r="BN22" i="3"/>
  <c r="BM22" i="3"/>
  <c r="BL22" i="3"/>
  <c r="BK22" i="3"/>
  <c r="BJ22" i="3"/>
  <c r="BI22" i="3"/>
  <c r="BF22" i="3"/>
  <c r="BE22" i="3"/>
  <c r="BD22" i="3"/>
  <c r="BC22" i="3"/>
  <c r="BB22" i="3"/>
  <c r="BA22" i="3"/>
  <c r="AZ22" i="3"/>
  <c r="BX21" i="3"/>
  <c r="BW21" i="3"/>
  <c r="BV21" i="3"/>
  <c r="BU21" i="3"/>
  <c r="BT21" i="3"/>
  <c r="BS21" i="3"/>
  <c r="BR21" i="3"/>
  <c r="BO21" i="3"/>
  <c r="BN21" i="3"/>
  <c r="BM21" i="3"/>
  <c r="BL21" i="3"/>
  <c r="BK21" i="3"/>
  <c r="BJ21" i="3"/>
  <c r="BI21" i="3"/>
  <c r="BF21" i="3"/>
  <c r="BE21" i="3"/>
  <c r="BD21" i="3"/>
  <c r="BC21" i="3"/>
  <c r="BB21" i="3"/>
  <c r="BA21" i="3"/>
  <c r="AZ21" i="3"/>
  <c r="BX20" i="3"/>
  <c r="BW20" i="3"/>
  <c r="BV20" i="3"/>
  <c r="BU20" i="3"/>
  <c r="BT20" i="3"/>
  <c r="BS20" i="3"/>
  <c r="BR20" i="3"/>
  <c r="BO20" i="3"/>
  <c r="BN20" i="3"/>
  <c r="BM20" i="3"/>
  <c r="BL20" i="3"/>
  <c r="BK20" i="3"/>
  <c r="BJ20" i="3"/>
  <c r="BI20" i="3"/>
  <c r="BF20" i="3"/>
  <c r="BE20" i="3"/>
  <c r="BD20" i="3"/>
  <c r="BC20" i="3"/>
  <c r="BB20" i="3"/>
  <c r="BA20" i="3"/>
  <c r="AZ20" i="3"/>
  <c r="BX19" i="3"/>
  <c r="BW19" i="3"/>
  <c r="BV19" i="3"/>
  <c r="BU19" i="3"/>
  <c r="BT19" i="3"/>
  <c r="BS19" i="3"/>
  <c r="BR19" i="3"/>
  <c r="BO19" i="3"/>
  <c r="BN19" i="3"/>
  <c r="BM19" i="3"/>
  <c r="BL19" i="3"/>
  <c r="BK19" i="3"/>
  <c r="BJ19" i="3"/>
  <c r="BI19" i="3"/>
  <c r="BF19" i="3"/>
  <c r="BE19" i="3"/>
  <c r="BD19" i="3"/>
  <c r="BC19" i="3"/>
  <c r="BB19" i="3"/>
  <c r="BA19" i="3"/>
  <c r="AZ19" i="3"/>
  <c r="BX18" i="3"/>
  <c r="BW18" i="3"/>
  <c r="BV18" i="3"/>
  <c r="BU18" i="3"/>
  <c r="BT18" i="3"/>
  <c r="BS18" i="3"/>
  <c r="BR18" i="3"/>
  <c r="BO18" i="3"/>
  <c r="BN18" i="3"/>
  <c r="BM18" i="3"/>
  <c r="BL18" i="3"/>
  <c r="BK18" i="3"/>
  <c r="BJ18" i="3"/>
  <c r="BI18" i="3"/>
  <c r="BF18" i="3"/>
  <c r="BE18" i="3"/>
  <c r="BD18" i="3"/>
  <c r="BC18" i="3"/>
  <c r="BB18" i="3"/>
  <c r="BA18" i="3"/>
  <c r="AZ18" i="3"/>
  <c r="BX17" i="3"/>
  <c r="BW17" i="3"/>
  <c r="BV17" i="3"/>
  <c r="BU17" i="3"/>
  <c r="BT17" i="3"/>
  <c r="BS17" i="3"/>
  <c r="BR17" i="3"/>
  <c r="BO17" i="3"/>
  <c r="BN17" i="3"/>
  <c r="BM17" i="3"/>
  <c r="BL17" i="3"/>
  <c r="BK17" i="3"/>
  <c r="BJ17" i="3"/>
  <c r="BI17" i="3"/>
  <c r="BF17" i="3"/>
  <c r="BE17" i="3"/>
  <c r="BD17" i="3"/>
  <c r="BC17" i="3"/>
  <c r="BB17" i="3"/>
  <c r="BA17" i="3"/>
  <c r="AZ17" i="3"/>
  <c r="BX16" i="3"/>
  <c r="BW16" i="3"/>
  <c r="BV16" i="3"/>
  <c r="BU16" i="3"/>
  <c r="BT16" i="3"/>
  <c r="BS16" i="3"/>
  <c r="BR16" i="3"/>
  <c r="BO16" i="3"/>
  <c r="BN16" i="3"/>
  <c r="BM16" i="3"/>
  <c r="BL16" i="3"/>
  <c r="BK16" i="3"/>
  <c r="BJ16" i="3"/>
  <c r="BI16" i="3"/>
  <c r="BF16" i="3"/>
  <c r="BE16" i="3"/>
  <c r="BD16" i="3"/>
  <c r="BC16" i="3"/>
  <c r="BB16" i="3"/>
  <c r="BA16" i="3"/>
  <c r="AZ16" i="3"/>
  <c r="BX15" i="3"/>
  <c r="BW15" i="3"/>
  <c r="BV15" i="3"/>
  <c r="BU15" i="3"/>
  <c r="BT15" i="3"/>
  <c r="BS15" i="3"/>
  <c r="BR15" i="3"/>
  <c r="BO15" i="3"/>
  <c r="BN15" i="3"/>
  <c r="BM15" i="3"/>
  <c r="BL15" i="3"/>
  <c r="BK15" i="3"/>
  <c r="BJ15" i="3"/>
  <c r="BI15" i="3"/>
  <c r="BF15" i="3"/>
  <c r="BE15" i="3"/>
  <c r="BD15" i="3"/>
  <c r="BC15" i="3"/>
  <c r="BB15" i="3"/>
  <c r="BA15" i="3"/>
  <c r="AZ15" i="3"/>
  <c r="BX14" i="3"/>
  <c r="BW14" i="3"/>
  <c r="BV14" i="3"/>
  <c r="BU14" i="3"/>
  <c r="BT14" i="3"/>
  <c r="BS14" i="3"/>
  <c r="BR14" i="3"/>
  <c r="BO14" i="3"/>
  <c r="BN14" i="3"/>
  <c r="BM14" i="3"/>
  <c r="BL14" i="3"/>
  <c r="BK14" i="3"/>
  <c r="BJ14" i="3"/>
  <c r="BI14" i="3"/>
  <c r="BF14" i="3"/>
  <c r="BE14" i="3"/>
  <c r="BD14" i="3"/>
  <c r="BC14" i="3"/>
  <c r="BB14" i="3"/>
  <c r="BA14" i="3"/>
  <c r="AZ14" i="3"/>
  <c r="AB14" i="3"/>
  <c r="AA14" i="3"/>
  <c r="Z14" i="3"/>
  <c r="Y14" i="3"/>
  <c r="X14" i="3"/>
  <c r="W14" i="3"/>
  <c r="V14" i="3"/>
  <c r="U14" i="3"/>
  <c r="T14" i="3"/>
  <c r="S14" i="3"/>
  <c r="R14" i="3"/>
  <c r="Q14" i="3"/>
  <c r="P14" i="3"/>
  <c r="O14" i="3"/>
  <c r="BX13" i="3"/>
  <c r="BW13" i="3"/>
  <c r="BV13" i="3"/>
  <c r="BU13" i="3"/>
  <c r="BT13" i="3"/>
  <c r="BS13" i="3"/>
  <c r="BR13" i="3"/>
  <c r="BO13" i="3"/>
  <c r="BN13" i="3"/>
  <c r="BM13" i="3"/>
  <c r="BL13" i="3"/>
  <c r="BK13" i="3"/>
  <c r="BJ13" i="3"/>
  <c r="BI13" i="3"/>
  <c r="BF13" i="3"/>
  <c r="BE13" i="3"/>
  <c r="BD13" i="3"/>
  <c r="BC13" i="3"/>
  <c r="BB13" i="3"/>
  <c r="BA13" i="3"/>
  <c r="AZ13" i="3"/>
  <c r="AJ13" i="3"/>
  <c r="AI13" i="3"/>
  <c r="AH13" i="3"/>
  <c r="AG13" i="3"/>
  <c r="AF13" i="3"/>
  <c r="AF9" i="3" s="1"/>
  <c r="AE13" i="3"/>
  <c r="AB13" i="3"/>
  <c r="AB1" i="3" s="1"/>
  <c r="AA13" i="3"/>
  <c r="Z13" i="3"/>
  <c r="Y13" i="3"/>
  <c r="X13" i="3"/>
  <c r="W13" i="3"/>
  <c r="V13" i="3"/>
  <c r="U13" i="3"/>
  <c r="T13" i="3"/>
  <c r="S13" i="3"/>
  <c r="R13" i="3"/>
  <c r="Q13" i="3"/>
  <c r="P13" i="3"/>
  <c r="O13" i="3"/>
  <c r="BX12" i="3"/>
  <c r="BW12" i="3"/>
  <c r="BV12" i="3"/>
  <c r="BU12" i="3"/>
  <c r="BT12" i="3"/>
  <c r="BS12" i="3"/>
  <c r="BR12" i="3"/>
  <c r="BO12" i="3"/>
  <c r="BN12" i="3"/>
  <c r="BM12" i="3"/>
  <c r="BL12" i="3"/>
  <c r="BK12" i="3"/>
  <c r="BJ12" i="3"/>
  <c r="BI12" i="3"/>
  <c r="BF12" i="3"/>
  <c r="BE12" i="3"/>
  <c r="BD12" i="3"/>
  <c r="BC12" i="3"/>
  <c r="BB12" i="3"/>
  <c r="BA12" i="3"/>
  <c r="AZ12" i="3"/>
  <c r="AY12" i="3"/>
  <c r="BH12" i="3" s="1"/>
  <c r="BQ12" i="3" s="1"/>
  <c r="BX11" i="3"/>
  <c r="BW11" i="3"/>
  <c r="BV11" i="3"/>
  <c r="BU11" i="3"/>
  <c r="BT11" i="3"/>
  <c r="BS11" i="3"/>
  <c r="BR11" i="3"/>
  <c r="BO11" i="3"/>
  <c r="BN11" i="3"/>
  <c r="BM11" i="3"/>
  <c r="BL11" i="3"/>
  <c r="BK11" i="3"/>
  <c r="BJ11" i="3"/>
  <c r="BI11" i="3"/>
  <c r="BH11" i="3"/>
  <c r="BH115" i="3" s="1"/>
  <c r="BF11" i="3"/>
  <c r="CS11" i="3" s="1"/>
  <c r="BE11" i="3"/>
  <c r="BD11" i="3"/>
  <c r="BC11" i="3"/>
  <c r="BB11" i="3"/>
  <c r="CO11" i="3" s="1"/>
  <c r="BA11" i="3"/>
  <c r="AZ11" i="3"/>
  <c r="AZ9" i="3"/>
  <c r="BA9" i="3" s="1"/>
  <c r="D4" i="3"/>
  <c r="D3" i="3"/>
  <c r="BZ17" i="4" l="1"/>
  <c r="BZ21" i="4"/>
  <c r="BZ25" i="4"/>
  <c r="BZ29" i="4"/>
  <c r="BZ33" i="4"/>
  <c r="BZ37" i="4"/>
  <c r="BZ41" i="4"/>
  <c r="BZ45" i="4"/>
  <c r="BZ49" i="4"/>
  <c r="BZ53" i="4"/>
  <c r="BZ57" i="4"/>
  <c r="BZ61" i="4"/>
  <c r="BZ65" i="4"/>
  <c r="BZ69" i="4"/>
  <c r="BZ73" i="4"/>
  <c r="BZ77" i="4"/>
  <c r="BZ81" i="4"/>
  <c r="BZ85" i="4"/>
  <c r="BZ89" i="4"/>
  <c r="BZ93" i="4"/>
  <c r="BZ97" i="4"/>
  <c r="BZ101" i="4"/>
  <c r="BZ105" i="4"/>
  <c r="BZ11" i="3"/>
  <c r="BZ16" i="3"/>
  <c r="BZ20" i="3"/>
  <c r="BZ24" i="3"/>
  <c r="BZ28" i="3"/>
  <c r="BZ32" i="3"/>
  <c r="BZ36" i="3"/>
  <c r="BZ40" i="3"/>
  <c r="BZ44" i="3"/>
  <c r="BZ48" i="3"/>
  <c r="BZ52" i="3"/>
  <c r="BZ56" i="3"/>
  <c r="BZ60" i="3"/>
  <c r="BZ64" i="3"/>
  <c r="BZ68" i="3"/>
  <c r="BZ72" i="3"/>
  <c r="BZ76" i="3"/>
  <c r="BZ80" i="3"/>
  <c r="BZ84" i="3"/>
  <c r="BZ88" i="3"/>
  <c r="BZ92" i="3"/>
  <c r="BZ96" i="3"/>
  <c r="BZ100" i="3"/>
  <c r="BZ104" i="3"/>
  <c r="BZ12" i="3"/>
  <c r="BZ14" i="3"/>
  <c r="BZ18" i="3"/>
  <c r="BZ22" i="3"/>
  <c r="BZ26" i="3"/>
  <c r="BZ30" i="3"/>
  <c r="BZ34" i="3"/>
  <c r="BZ38" i="3"/>
  <c r="BZ42" i="3"/>
  <c r="BZ46" i="3"/>
  <c r="BZ50" i="3"/>
  <c r="BZ54" i="3"/>
  <c r="BZ58" i="3"/>
  <c r="BZ62" i="3"/>
  <c r="BZ66" i="3"/>
  <c r="BZ70" i="3"/>
  <c r="BZ74" i="3"/>
  <c r="BZ78" i="3"/>
  <c r="BZ82" i="3"/>
  <c r="BZ86" i="3"/>
  <c r="BZ90" i="3"/>
  <c r="BZ94" i="3"/>
  <c r="BZ98" i="3"/>
  <c r="BZ102" i="3"/>
  <c r="BZ13" i="4"/>
  <c r="BZ15" i="4"/>
  <c r="BZ19" i="4"/>
  <c r="BZ23" i="4"/>
  <c r="BZ27" i="4"/>
  <c r="BZ31" i="4"/>
  <c r="BZ35" i="4"/>
  <c r="BZ39" i="4"/>
  <c r="BZ43" i="4"/>
  <c r="BZ47" i="4"/>
  <c r="BZ51" i="4"/>
  <c r="BZ55" i="4"/>
  <c r="BZ59" i="4"/>
  <c r="BZ63" i="4"/>
  <c r="BZ67" i="4"/>
  <c r="BZ71" i="4"/>
  <c r="BZ75" i="4"/>
  <c r="BZ79" i="4"/>
  <c r="BZ83" i="4"/>
  <c r="BZ87" i="4"/>
  <c r="BZ91" i="4"/>
  <c r="BZ95" i="4"/>
  <c r="BZ99" i="4"/>
  <c r="BZ103" i="4"/>
  <c r="BZ13" i="3"/>
  <c r="BZ15" i="3"/>
  <c r="BZ19" i="3"/>
  <c r="BZ23" i="3"/>
  <c r="BZ27" i="3"/>
  <c r="BZ31" i="3"/>
  <c r="BZ35" i="3"/>
  <c r="BZ39" i="3"/>
  <c r="BZ43" i="3"/>
  <c r="BZ47" i="3"/>
  <c r="BZ51" i="3"/>
  <c r="BZ55" i="3"/>
  <c r="BZ59" i="3"/>
  <c r="BZ63" i="3"/>
  <c r="BZ67" i="3"/>
  <c r="BZ71" i="3"/>
  <c r="BZ75" i="3"/>
  <c r="BZ79" i="3"/>
  <c r="BZ83" i="3"/>
  <c r="BZ87" i="3"/>
  <c r="BZ91" i="3"/>
  <c r="BZ95" i="3"/>
  <c r="BZ99" i="3"/>
  <c r="BZ103" i="3"/>
  <c r="BZ11" i="4"/>
  <c r="BZ16" i="4"/>
  <c r="BZ20" i="4"/>
  <c r="BZ24" i="4"/>
  <c r="BZ28" i="4"/>
  <c r="BZ32" i="4"/>
  <c r="BZ36" i="4"/>
  <c r="BZ40" i="4"/>
  <c r="BZ44" i="4"/>
  <c r="BZ48" i="4"/>
  <c r="BZ52" i="4"/>
  <c r="BZ56" i="4"/>
  <c r="BZ60" i="4"/>
  <c r="BZ64" i="4"/>
  <c r="BZ68" i="4"/>
  <c r="BZ72" i="4"/>
  <c r="BZ76" i="4"/>
  <c r="BZ80" i="4"/>
  <c r="BZ84" i="4"/>
  <c r="BZ88" i="4"/>
  <c r="BZ92" i="4"/>
  <c r="BZ96" i="4"/>
  <c r="BZ100" i="4"/>
  <c r="BZ104" i="4"/>
  <c r="BZ106" i="4"/>
  <c r="BZ17" i="3"/>
  <c r="BZ21" i="3"/>
  <c r="BZ25" i="3"/>
  <c r="BZ29" i="3"/>
  <c r="BZ33" i="3"/>
  <c r="BZ37" i="3"/>
  <c r="BZ41" i="3"/>
  <c r="BZ45" i="3"/>
  <c r="BZ49" i="3"/>
  <c r="BZ53" i="3"/>
  <c r="BZ57" i="3"/>
  <c r="BZ61" i="3"/>
  <c r="BZ65" i="3"/>
  <c r="BZ69" i="3"/>
  <c r="BZ73" i="3"/>
  <c r="BZ77" i="3"/>
  <c r="BZ81" i="3"/>
  <c r="BZ85" i="3"/>
  <c r="BZ89" i="3"/>
  <c r="BZ93" i="3"/>
  <c r="BZ97" i="3"/>
  <c r="BZ101" i="3"/>
  <c r="BZ105" i="3"/>
  <c r="BZ106" i="3"/>
  <c r="BZ12" i="4"/>
  <c r="BZ14" i="4"/>
  <c r="BZ18" i="4"/>
  <c r="BZ22" i="4"/>
  <c r="BZ26" i="4"/>
  <c r="BZ30" i="4"/>
  <c r="BZ34" i="4"/>
  <c r="BZ38" i="4"/>
  <c r="BZ42" i="4"/>
  <c r="BZ46" i="4"/>
  <c r="BZ50" i="4"/>
  <c r="BZ54" i="4"/>
  <c r="BZ58" i="4"/>
  <c r="BZ62" i="4"/>
  <c r="BZ66" i="4"/>
  <c r="BZ70" i="4"/>
  <c r="BZ74" i="4"/>
  <c r="BZ78" i="4"/>
  <c r="BZ82" i="4"/>
  <c r="BZ86" i="4"/>
  <c r="BZ90" i="4"/>
  <c r="BZ94" i="4"/>
  <c r="BZ98" i="4"/>
  <c r="BZ102" i="4"/>
  <c r="Q150" i="6"/>
  <c r="CA12" i="3"/>
  <c r="P1" i="3"/>
  <c r="T1" i="3"/>
  <c r="X1" i="3"/>
  <c r="CA14" i="3"/>
  <c r="CA18" i="3"/>
  <c r="CA22" i="3"/>
  <c r="CA26" i="3"/>
  <c r="CA30" i="3"/>
  <c r="CA34" i="3"/>
  <c r="CA46" i="3"/>
  <c r="CA50" i="3"/>
  <c r="CA54" i="3"/>
  <c r="CA58" i="3"/>
  <c r="CA62" i="3"/>
  <c r="CA66" i="3"/>
  <c r="CA70" i="3"/>
  <c r="CA74" i="3"/>
  <c r="CA78" i="3"/>
  <c r="CA82" i="3"/>
  <c r="CA86" i="3"/>
  <c r="CA90" i="3"/>
  <c r="CA94" i="3"/>
  <c r="CA98" i="3"/>
  <c r="CA102" i="3"/>
  <c r="Q1" i="4"/>
  <c r="U1" i="4"/>
  <c r="Y1" i="4"/>
  <c r="CA13" i="4"/>
  <c r="CA15" i="4"/>
  <c r="CA19" i="4"/>
  <c r="CA23" i="4"/>
  <c r="CA27" i="4"/>
  <c r="CA31" i="4"/>
  <c r="CA35" i="4"/>
  <c r="CA39" i="4"/>
  <c r="CA43" i="4"/>
  <c r="CA47" i="4"/>
  <c r="CA51" i="4"/>
  <c r="CA55" i="4"/>
  <c r="CA59" i="4"/>
  <c r="CA63" i="4"/>
  <c r="CA67" i="4"/>
  <c r="CA71" i="4"/>
  <c r="CA75" i="4"/>
  <c r="CA79" i="4"/>
  <c r="CA83" i="4"/>
  <c r="CA87" i="4"/>
  <c r="CA91" i="4"/>
  <c r="CA95" i="4"/>
  <c r="CA99" i="4"/>
  <c r="CA103" i="4"/>
  <c r="CA42" i="3"/>
  <c r="CA13" i="3"/>
  <c r="CA23" i="3"/>
  <c r="CA35" i="3"/>
  <c r="CA43" i="3"/>
  <c r="CA59" i="3"/>
  <c r="CA71" i="3"/>
  <c r="CA79" i="3"/>
  <c r="CA83" i="3"/>
  <c r="CA87" i="3"/>
  <c r="CA91" i="3"/>
  <c r="CA99" i="3"/>
  <c r="CA20" i="4"/>
  <c r="CA32" i="4"/>
  <c r="CA40" i="4"/>
  <c r="CA48" i="4"/>
  <c r="CA52" i="4"/>
  <c r="CA56" i="4"/>
  <c r="CA60" i="4"/>
  <c r="CA64" i="4"/>
  <c r="CA68" i="4"/>
  <c r="CA72" i="4"/>
  <c r="CA76" i="4"/>
  <c r="CA80" i="4"/>
  <c r="CA84" i="4"/>
  <c r="CA88" i="4"/>
  <c r="CA92" i="4"/>
  <c r="CA100" i="4"/>
  <c r="CA104" i="4"/>
  <c r="CA15" i="3"/>
  <c r="CA19" i="3"/>
  <c r="CA27" i="3"/>
  <c r="CA31" i="3"/>
  <c r="CA39" i="3"/>
  <c r="CA47" i="3"/>
  <c r="CA51" i="3"/>
  <c r="CA55" i="3"/>
  <c r="CA63" i="3"/>
  <c r="CA67" i="3"/>
  <c r="CA75" i="3"/>
  <c r="CA95" i="3"/>
  <c r="CA103" i="3"/>
  <c r="CA11" i="4"/>
  <c r="CA16" i="4"/>
  <c r="CA24" i="4"/>
  <c r="CA28" i="4"/>
  <c r="CA36" i="4"/>
  <c r="CA44" i="4"/>
  <c r="CA96" i="4"/>
  <c r="CA11" i="3"/>
  <c r="R1" i="3"/>
  <c r="V1" i="3"/>
  <c r="Z1" i="3"/>
  <c r="CA16" i="3"/>
  <c r="CA20" i="3"/>
  <c r="CA24" i="3"/>
  <c r="CA28" i="3"/>
  <c r="CA32" i="3"/>
  <c r="CA36" i="3"/>
  <c r="CA40" i="3"/>
  <c r="CA44" i="3"/>
  <c r="CA48" i="3"/>
  <c r="CA52" i="3"/>
  <c r="CA56" i="3"/>
  <c r="CA60" i="3"/>
  <c r="CA64" i="3"/>
  <c r="CA68" i="3"/>
  <c r="CA72" i="3"/>
  <c r="CA76" i="3"/>
  <c r="CA80" i="3"/>
  <c r="CA84" i="3"/>
  <c r="CA88" i="3"/>
  <c r="CA92" i="3"/>
  <c r="CA96" i="3"/>
  <c r="CA100" i="3"/>
  <c r="CA104" i="3"/>
  <c r="O1" i="4"/>
  <c r="S1" i="4"/>
  <c r="W1" i="4"/>
  <c r="AA1" i="4"/>
  <c r="CA17" i="4"/>
  <c r="CA21" i="4"/>
  <c r="CA25" i="4"/>
  <c r="CA29" i="4"/>
  <c r="CA33" i="4"/>
  <c r="CA37" i="4"/>
  <c r="CA41" i="4"/>
  <c r="CA45" i="4"/>
  <c r="CA49" i="4"/>
  <c r="CA53" i="4"/>
  <c r="CA57" i="4"/>
  <c r="CA61" i="4"/>
  <c r="CA65" i="4"/>
  <c r="CA69" i="4"/>
  <c r="CA73" i="4"/>
  <c r="CA77" i="4"/>
  <c r="CA81" i="4"/>
  <c r="CA85" i="4"/>
  <c r="CA89" i="4"/>
  <c r="CA93" i="4"/>
  <c r="CA97" i="4"/>
  <c r="CA101" i="4"/>
  <c r="CA105" i="4"/>
  <c r="CA106" i="4"/>
  <c r="CA38" i="3"/>
  <c r="CA17" i="3"/>
  <c r="CA21" i="3"/>
  <c r="CA25" i="3"/>
  <c r="CA29" i="3"/>
  <c r="CA33" i="3"/>
  <c r="CA37" i="3"/>
  <c r="CA41" i="3"/>
  <c r="CA45" i="3"/>
  <c r="CA49" i="3"/>
  <c r="CA53" i="3"/>
  <c r="CA57" i="3"/>
  <c r="CA61" i="3"/>
  <c r="CA65" i="3"/>
  <c r="CA69" i="3"/>
  <c r="CA73" i="3"/>
  <c r="CA77" i="3"/>
  <c r="CA81" i="3"/>
  <c r="CA85" i="3"/>
  <c r="CA89" i="3"/>
  <c r="CA93" i="3"/>
  <c r="CA97" i="3"/>
  <c r="CA101" i="3"/>
  <c r="CA105" i="3"/>
  <c r="CA106" i="3"/>
  <c r="CA12" i="4"/>
  <c r="CA14" i="4"/>
  <c r="CA18" i="4"/>
  <c r="CA22" i="4"/>
  <c r="CA26" i="4"/>
  <c r="CA30" i="4"/>
  <c r="CA34" i="4"/>
  <c r="CA38" i="4"/>
  <c r="CA42" i="4"/>
  <c r="CA46" i="4"/>
  <c r="CA50" i="4"/>
  <c r="CA54" i="4"/>
  <c r="CA58" i="4"/>
  <c r="CA62" i="4"/>
  <c r="CA66" i="4"/>
  <c r="CA70" i="4"/>
  <c r="CA74" i="4"/>
  <c r="CA78" i="4"/>
  <c r="CA82" i="4"/>
  <c r="CA86" i="4"/>
  <c r="CA90" i="4"/>
  <c r="CA94" i="4"/>
  <c r="CA98" i="4"/>
  <c r="CA102" i="4"/>
  <c r="Q1" i="3"/>
  <c r="U1" i="3"/>
  <c r="Y1" i="3"/>
  <c r="R1" i="4"/>
  <c r="V1" i="4"/>
  <c r="Z1" i="4"/>
  <c r="AE9" i="4"/>
  <c r="D7" i="4"/>
  <c r="AE9" i="3"/>
  <c r="D7" i="3"/>
  <c r="O1" i="3"/>
  <c r="S1" i="3"/>
  <c r="W1" i="3"/>
  <c r="AA1" i="3"/>
  <c r="P1" i="4"/>
  <c r="T1" i="4"/>
  <c r="X1" i="4"/>
  <c r="CN11" i="4"/>
  <c r="CM106" i="3"/>
  <c r="CM106" i="4"/>
  <c r="BF9" i="5"/>
  <c r="BE9" i="5" s="1"/>
  <c r="BI6" i="5"/>
  <c r="BH6" i="5" s="1"/>
  <c r="BI10" i="5"/>
  <c r="BH10" i="5" s="1"/>
  <c r="BF5" i="5"/>
  <c r="BE5" i="5" s="1"/>
  <c r="BF6" i="5"/>
  <c r="BE6" i="5" s="1"/>
  <c r="BF10" i="5"/>
  <c r="BE10" i="5" s="1"/>
  <c r="BI7" i="5"/>
  <c r="BH7" i="5" s="1"/>
  <c r="BI11" i="5"/>
  <c r="BH11" i="5" s="1"/>
  <c r="BF7" i="5"/>
  <c r="BE7" i="5" s="1"/>
  <c r="BF11" i="5"/>
  <c r="BE11" i="5" s="1"/>
  <c r="BI8" i="5"/>
  <c r="BH8" i="5" s="1"/>
  <c r="BF8" i="5"/>
  <c r="BE8" i="5" s="1"/>
  <c r="BI5" i="5"/>
  <c r="BI9" i="5"/>
  <c r="BH9" i="5" s="1"/>
  <c r="BQ11" i="3"/>
  <c r="AR116" i="3"/>
  <c r="CP11" i="3"/>
  <c r="AY13" i="3"/>
  <c r="BH13" i="4"/>
  <c r="BQ13" i="4" s="1"/>
  <c r="CO29" i="4"/>
  <c r="CS29" i="4"/>
  <c r="CN30" i="4"/>
  <c r="CR30" i="4"/>
  <c r="CM31" i="4"/>
  <c r="CP32" i="4"/>
  <c r="CO33" i="4"/>
  <c r="CP36" i="4"/>
  <c r="CO37" i="4"/>
  <c r="CS37" i="4"/>
  <c r="CN38" i="4"/>
  <c r="CR38" i="4"/>
  <c r="CM39" i="4"/>
  <c r="CQ39" i="4"/>
  <c r="CP40" i="4"/>
  <c r="CO41" i="4"/>
  <c r="CS41" i="4"/>
  <c r="CN42" i="4"/>
  <c r="CR42" i="4"/>
  <c r="CM43" i="4"/>
  <c r="CQ43" i="4"/>
  <c r="CP44" i="4"/>
  <c r="CO45" i="4"/>
  <c r="CS45" i="4"/>
  <c r="CN46" i="4"/>
  <c r="CR46" i="4"/>
  <c r="CM47" i="4"/>
  <c r="CO49" i="4"/>
  <c r="CS49" i="4"/>
  <c r="CM51" i="4"/>
  <c r="CQ51" i="4"/>
  <c r="CP52" i="4"/>
  <c r="CO53" i="4"/>
  <c r="CS53" i="4"/>
  <c r="CN54" i="4"/>
  <c r="CR54" i="4"/>
  <c r="CM55" i="4"/>
  <c r="CQ55" i="4"/>
  <c r="CP56" i="4"/>
  <c r="CO57" i="4"/>
  <c r="CS57" i="4"/>
  <c r="CN58" i="4"/>
  <c r="CR58" i="4"/>
  <c r="CM59" i="4"/>
  <c r="CQ59" i="4"/>
  <c r="CP60" i="4"/>
  <c r="CO61" i="4"/>
  <c r="CS61" i="4"/>
  <c r="CN62" i="4"/>
  <c r="CR62" i="4"/>
  <c r="CM63" i="4"/>
  <c r="CQ63" i="4"/>
  <c r="CP64" i="4"/>
  <c r="CO65" i="4"/>
  <c r="CS65" i="4"/>
  <c r="CN66" i="4"/>
  <c r="CR66" i="4"/>
  <c r="CM67" i="4"/>
  <c r="CQ67" i="4"/>
  <c r="CP68" i="4"/>
  <c r="CO69" i="4"/>
  <c r="CS69" i="4"/>
  <c r="CN70" i="4"/>
  <c r="CR70" i="4"/>
  <c r="CM71" i="4"/>
  <c r="CQ71" i="4"/>
  <c r="CP72" i="4"/>
  <c r="CO73" i="4"/>
  <c r="CS73" i="4"/>
  <c r="CN74" i="4"/>
  <c r="CR74" i="4"/>
  <c r="CM75" i="4"/>
  <c r="CQ75" i="4"/>
  <c r="CP76" i="4"/>
  <c r="CO77" i="4"/>
  <c r="CS77" i="4"/>
  <c r="CN78" i="4"/>
  <c r="CR78" i="4"/>
  <c r="CM79" i="4"/>
  <c r="CQ79" i="4"/>
  <c r="CP80" i="4"/>
  <c r="CO81" i="4"/>
  <c r="CS81" i="4"/>
  <c r="CN40" i="3"/>
  <c r="CM41" i="3"/>
  <c r="CP42" i="3"/>
  <c r="CS43" i="3"/>
  <c r="CR44" i="3"/>
  <c r="CQ45" i="3"/>
  <c r="CP46" i="3"/>
  <c r="CS47" i="3"/>
  <c r="CR48" i="3"/>
  <c r="CM49" i="3"/>
  <c r="CQ49" i="3"/>
  <c r="CS51" i="3"/>
  <c r="CR52" i="3"/>
  <c r="CM53" i="3"/>
  <c r="CP54" i="3"/>
  <c r="CO55" i="3"/>
  <c r="CR56" i="3"/>
  <c r="CM57" i="3"/>
  <c r="CQ57" i="3"/>
  <c r="CP58" i="3"/>
  <c r="CO59" i="3"/>
  <c r="CR60" i="3"/>
  <c r="CM61" i="3"/>
  <c r="CQ61" i="3"/>
  <c r="CO63" i="3"/>
  <c r="CR64" i="3"/>
  <c r="CM65" i="3"/>
  <c r="CQ65" i="3"/>
  <c r="CP66" i="3"/>
  <c r="CO67" i="3"/>
  <c r="CS67" i="3"/>
  <c r="CN68" i="3"/>
  <c r="CQ69" i="3"/>
  <c r="CP70" i="3"/>
  <c r="CS71" i="3"/>
  <c r="CR72" i="3"/>
  <c r="CQ73" i="3"/>
  <c r="CP74" i="3"/>
  <c r="CS75" i="3"/>
  <c r="CR76" i="3"/>
  <c r="CQ77" i="3"/>
  <c r="CP78" i="3"/>
  <c r="CO79" i="3"/>
  <c r="CR80" i="3"/>
  <c r="CM81" i="3"/>
  <c r="CP82" i="3"/>
  <c r="CO83" i="3"/>
  <c r="CR84" i="3"/>
  <c r="CM85" i="3"/>
  <c r="CP86" i="3"/>
  <c r="CO87" i="3"/>
  <c r="CR88" i="3"/>
  <c r="CM89" i="3"/>
  <c r="CP90" i="3"/>
  <c r="CS91" i="3"/>
  <c r="CN92" i="3"/>
  <c r="CQ93" i="3"/>
  <c r="CP94" i="3"/>
  <c r="CS95" i="3"/>
  <c r="CR96" i="3"/>
  <c r="CM97" i="3"/>
  <c r="CP98" i="3"/>
  <c r="CS99" i="3"/>
  <c r="CN100" i="3"/>
  <c r="CM101" i="3"/>
  <c r="CQ101" i="3"/>
  <c r="CS103" i="3"/>
  <c r="CR104" i="3"/>
  <c r="CM105" i="3"/>
  <c r="CQ105" i="3"/>
  <c r="CQ106" i="3"/>
  <c r="CP12" i="4"/>
  <c r="CO13" i="4"/>
  <c r="CS13" i="4"/>
  <c r="CS15" i="4"/>
  <c r="CN16" i="4"/>
  <c r="CQ17" i="4"/>
  <c r="CP18" i="4"/>
  <c r="CS19" i="4"/>
  <c r="CN20" i="4"/>
  <c r="CR20" i="4"/>
  <c r="CQ21" i="4"/>
  <c r="CO23" i="4"/>
  <c r="CR24" i="4"/>
  <c r="CM25" i="4"/>
  <c r="CN32" i="4"/>
  <c r="CR40" i="3"/>
  <c r="CQ41" i="3"/>
  <c r="CO43" i="3"/>
  <c r="CN44" i="3"/>
  <c r="CM45" i="3"/>
  <c r="CO47" i="3"/>
  <c r="CN48" i="3"/>
  <c r="CP50" i="3"/>
  <c r="CO51" i="3"/>
  <c r="CN52" i="3"/>
  <c r="CQ53" i="3"/>
  <c r="CS55" i="3"/>
  <c r="CN56" i="3"/>
  <c r="CS59" i="3"/>
  <c r="CN60" i="3"/>
  <c r="CP62" i="3"/>
  <c r="CS63" i="3"/>
  <c r="CN64" i="3"/>
  <c r="CR68" i="3"/>
  <c r="CM69" i="3"/>
  <c r="CO71" i="3"/>
  <c r="CN72" i="3"/>
  <c r="CM73" i="3"/>
  <c r="CO75" i="3"/>
  <c r="CN76" i="3"/>
  <c r="CM77" i="3"/>
  <c r="CS79" i="3"/>
  <c r="CN80" i="3"/>
  <c r="CQ81" i="3"/>
  <c r="CS83" i="3"/>
  <c r="CN84" i="3"/>
  <c r="CQ85" i="3"/>
  <c r="CS87" i="3"/>
  <c r="CN88" i="3"/>
  <c r="CQ89" i="3"/>
  <c r="CO91" i="3"/>
  <c r="CR92" i="3"/>
  <c r="CM93" i="3"/>
  <c r="CO95" i="3"/>
  <c r="CN96" i="3"/>
  <c r="CQ97" i="3"/>
  <c r="CO99" i="3"/>
  <c r="CR100" i="3"/>
  <c r="CP102" i="3"/>
  <c r="CO103" i="3"/>
  <c r="CN104" i="3"/>
  <c r="CP14" i="4"/>
  <c r="CO15" i="4"/>
  <c r="CR16" i="4"/>
  <c r="CM17" i="4"/>
  <c r="CO19" i="4"/>
  <c r="CM21" i="4"/>
  <c r="CP22" i="4"/>
  <c r="CS23" i="4"/>
  <c r="CN24" i="4"/>
  <c r="CQ25" i="4"/>
  <c r="CP26" i="4"/>
  <c r="CO27" i="4"/>
  <c r="CS27" i="4"/>
  <c r="CN28" i="4"/>
  <c r="CR28" i="4"/>
  <c r="CM29" i="4"/>
  <c r="CQ29" i="4"/>
  <c r="CP30" i="4"/>
  <c r="CO31" i="4"/>
  <c r="CS31" i="4"/>
  <c r="CR32" i="4"/>
  <c r="CM33" i="4"/>
  <c r="CQ33" i="4"/>
  <c r="CP34" i="4"/>
  <c r="CN36" i="4"/>
  <c r="CR36" i="4"/>
  <c r="CM37" i="4"/>
  <c r="CQ37" i="4"/>
  <c r="CP38" i="4"/>
  <c r="CO39" i="4"/>
  <c r="CS39" i="4"/>
  <c r="CN11" i="3"/>
  <c r="CR11" i="3"/>
  <c r="CM12" i="3"/>
  <c r="CQ12" i="3"/>
  <c r="CP13" i="3"/>
  <c r="CM14" i="3"/>
  <c r="CQ14" i="3"/>
  <c r="CP15" i="3"/>
  <c r="CO16" i="3"/>
  <c r="CS16" i="3"/>
  <c r="CN17" i="3"/>
  <c r="CR17" i="3"/>
  <c r="CM18" i="3"/>
  <c r="CQ18" i="3"/>
  <c r="CP19" i="3"/>
  <c r="CO20" i="3"/>
  <c r="CS20" i="3"/>
  <c r="CN21" i="3"/>
  <c r="CR21" i="3"/>
  <c r="CM22" i="3"/>
  <c r="CQ22" i="3"/>
  <c r="CP23" i="3"/>
  <c r="CO24" i="3"/>
  <c r="CS24" i="3"/>
  <c r="CN25" i="3"/>
  <c r="CR25" i="3"/>
  <c r="CM26" i="3"/>
  <c r="CQ26" i="3"/>
  <c r="CP27" i="3"/>
  <c r="CO28" i="3"/>
  <c r="CS28" i="3"/>
  <c r="CN29" i="3"/>
  <c r="CR29" i="3"/>
  <c r="CM30" i="3"/>
  <c r="CQ30" i="3"/>
  <c r="CP31" i="3"/>
  <c r="CO32" i="3"/>
  <c r="CS32" i="3"/>
  <c r="CN33" i="3"/>
  <c r="CR33" i="3"/>
  <c r="CM34" i="3"/>
  <c r="CQ34" i="3"/>
  <c r="CO36" i="3"/>
  <c r="CS36" i="3"/>
  <c r="CN37" i="3"/>
  <c r="CR37" i="3"/>
  <c r="CM38" i="3"/>
  <c r="CQ38" i="3"/>
  <c r="CP39" i="3"/>
  <c r="CO40" i="3"/>
  <c r="CS40" i="3"/>
  <c r="CN41" i="3"/>
  <c r="CR41" i="3"/>
  <c r="CM42" i="3"/>
  <c r="CQ42" i="3"/>
  <c r="CP43" i="3"/>
  <c r="CO44" i="3"/>
  <c r="CS44" i="3"/>
  <c r="CN45" i="3"/>
  <c r="CR45" i="3"/>
  <c r="CM46" i="3"/>
  <c r="CQ46" i="3"/>
  <c r="CP47" i="3"/>
  <c r="CO48" i="3"/>
  <c r="CS48" i="3"/>
  <c r="CN49" i="3"/>
  <c r="CR49" i="3"/>
  <c r="CM50" i="3"/>
  <c r="CQ50" i="3"/>
  <c r="CP51" i="3"/>
  <c r="CO52" i="3"/>
  <c r="CS52" i="3"/>
  <c r="CN53" i="3"/>
  <c r="CR53" i="3"/>
  <c r="CM54" i="3"/>
  <c r="CQ54" i="3"/>
  <c r="CP55" i="3"/>
  <c r="CO56" i="3"/>
  <c r="CS56" i="3"/>
  <c r="CN57" i="3"/>
  <c r="CR57" i="3"/>
  <c r="CM58" i="3"/>
  <c r="CN40" i="4"/>
  <c r="CR40" i="4"/>
  <c r="CM41" i="4"/>
  <c r="CQ41" i="4"/>
  <c r="CP42" i="4"/>
  <c r="CO43" i="4"/>
  <c r="CS43" i="4"/>
  <c r="CN44" i="4"/>
  <c r="CR44" i="4"/>
  <c r="CM45" i="4"/>
  <c r="CQ45" i="4"/>
  <c r="CP46" i="4"/>
  <c r="CO47" i="4"/>
  <c r="CS47" i="4"/>
  <c r="CN48" i="4"/>
  <c r="CR48" i="4"/>
  <c r="CM49" i="4"/>
  <c r="CQ49" i="4"/>
  <c r="CP50" i="4"/>
  <c r="CO51" i="4"/>
  <c r="CS51" i="4"/>
  <c r="CN52" i="4"/>
  <c r="CR52" i="4"/>
  <c r="CM53" i="4"/>
  <c r="CQ53" i="4"/>
  <c r="CP54" i="4"/>
  <c r="CO55" i="4"/>
  <c r="CS55" i="4"/>
  <c r="CN56" i="4"/>
  <c r="CR56" i="4"/>
  <c r="CM57" i="4"/>
  <c r="CQ57" i="4"/>
  <c r="CP58" i="4"/>
  <c r="CO59" i="4"/>
  <c r="CS59" i="4"/>
  <c r="CN60" i="4"/>
  <c r="CR60" i="4"/>
  <c r="CM61" i="4"/>
  <c r="CQ61" i="4"/>
  <c r="CP62" i="4"/>
  <c r="CO63" i="4"/>
  <c r="CS63" i="4"/>
  <c r="CN64" i="4"/>
  <c r="CR64" i="4"/>
  <c r="CM65" i="4"/>
  <c r="CQ65" i="4"/>
  <c r="CP66" i="4"/>
  <c r="CO67" i="4"/>
  <c r="CS67" i="4"/>
  <c r="CN68" i="4"/>
  <c r="CR68" i="4"/>
  <c r="CM69" i="4"/>
  <c r="CQ69" i="4"/>
  <c r="CP70" i="4"/>
  <c r="CO71" i="4"/>
  <c r="CS71" i="4"/>
  <c r="CN72" i="4"/>
  <c r="CR72" i="4"/>
  <c r="CM73" i="4"/>
  <c r="CQ73" i="4"/>
  <c r="CP74" i="4"/>
  <c r="CO75" i="4"/>
  <c r="CS75" i="4"/>
  <c r="CN76" i="4"/>
  <c r="CR76" i="4"/>
  <c r="CM77" i="4"/>
  <c r="CQ77" i="4"/>
  <c r="CP78" i="4"/>
  <c r="CO79" i="4"/>
  <c r="CS79" i="4"/>
  <c r="CN80" i="4"/>
  <c r="CR80" i="4"/>
  <c r="CM81" i="4"/>
  <c r="CQ81" i="4"/>
  <c r="CP82" i="4"/>
  <c r="CO83" i="4"/>
  <c r="CS83" i="4"/>
  <c r="CN84" i="4"/>
  <c r="CR84" i="4"/>
  <c r="CM85" i="4"/>
  <c r="CQ85" i="4"/>
  <c r="CP86" i="4"/>
  <c r="CO87" i="4"/>
  <c r="CS87" i="4"/>
  <c r="CN88" i="4"/>
  <c r="CR88" i="4"/>
  <c r="CM89" i="4"/>
  <c r="CQ89" i="4"/>
  <c r="CP90" i="4"/>
  <c r="CO91" i="4"/>
  <c r="CS91" i="4"/>
  <c r="CN92" i="4"/>
  <c r="CR92" i="4"/>
  <c r="CM93" i="4"/>
  <c r="CQ93" i="4"/>
  <c r="CP94" i="4"/>
  <c r="CO95" i="4"/>
  <c r="CS95" i="4"/>
  <c r="CN96" i="4"/>
  <c r="CR96" i="4"/>
  <c r="CM97" i="4"/>
  <c r="CQ97" i="4"/>
  <c r="CP98" i="4"/>
  <c r="CO99" i="4"/>
  <c r="CS99" i="4"/>
  <c r="CN100" i="4"/>
  <c r="CR100" i="4"/>
  <c r="CM101" i="4"/>
  <c r="CQ101" i="4"/>
  <c r="CP102" i="4"/>
  <c r="CO103" i="4"/>
  <c r="CS103" i="4"/>
  <c r="CN104" i="4"/>
  <c r="CR104" i="4"/>
  <c r="CM105" i="4"/>
  <c r="CQ105" i="4"/>
  <c r="CQ106" i="4"/>
  <c r="CN12" i="4"/>
  <c r="CR12" i="4"/>
  <c r="CM13" i="4"/>
  <c r="CQ13" i="4"/>
  <c r="CN14" i="4"/>
  <c r="CR14" i="4"/>
  <c r="CM15" i="4"/>
  <c r="CQ15" i="4"/>
  <c r="CP16" i="4"/>
  <c r="CO17" i="4"/>
  <c r="CS17" i="4"/>
  <c r="CN18" i="4"/>
  <c r="CR18" i="4"/>
  <c r="CM19" i="4"/>
  <c r="CQ19" i="4"/>
  <c r="CP20" i="4"/>
  <c r="CO21" i="4"/>
  <c r="CS21" i="4"/>
  <c r="CN22" i="4"/>
  <c r="CR22" i="4"/>
  <c r="CM23" i="4"/>
  <c r="CQ23" i="4"/>
  <c r="CP24" i="4"/>
  <c r="CO25" i="4"/>
  <c r="CS25" i="4"/>
  <c r="CN26" i="4"/>
  <c r="CR26" i="4"/>
  <c r="CM27" i="4"/>
  <c r="CQ27" i="4"/>
  <c r="CP28" i="4"/>
  <c r="CQ31" i="4"/>
  <c r="CS33" i="4"/>
  <c r="CN34" i="4"/>
  <c r="CR34" i="4"/>
  <c r="CQ47" i="4"/>
  <c r="CP48" i="4"/>
  <c r="CN50" i="4"/>
  <c r="CR50" i="4"/>
  <c r="CN82" i="4"/>
  <c r="CR82" i="4"/>
  <c r="CM83" i="4"/>
  <c r="CQ83" i="4"/>
  <c r="CP84" i="4"/>
  <c r="CO85" i="4"/>
  <c r="CS85" i="4"/>
  <c r="CN86" i="4"/>
  <c r="CR86" i="4"/>
  <c r="CM87" i="4"/>
  <c r="CQ87" i="4"/>
  <c r="CP88" i="4"/>
  <c r="CO89" i="4"/>
  <c r="CS89" i="4"/>
  <c r="CN90" i="4"/>
  <c r="CR90" i="4"/>
  <c r="CM91" i="4"/>
  <c r="CQ91" i="4"/>
  <c r="CP92" i="4"/>
  <c r="CO93" i="4"/>
  <c r="CS93" i="4"/>
  <c r="CN94" i="4"/>
  <c r="CR94" i="4"/>
  <c r="CM95" i="4"/>
  <c r="CQ95" i="4"/>
  <c r="CP96" i="4"/>
  <c r="CO97" i="4"/>
  <c r="CS97" i="4"/>
  <c r="CN98" i="4"/>
  <c r="CR98" i="4"/>
  <c r="CM99" i="4"/>
  <c r="CQ99" i="4"/>
  <c r="CP100" i="4"/>
  <c r="CO101" i="4"/>
  <c r="CS101" i="4"/>
  <c r="CN102" i="4"/>
  <c r="CR102" i="4"/>
  <c r="CM103" i="4"/>
  <c r="CQ103" i="4"/>
  <c r="CP104" i="4"/>
  <c r="CO105" i="4"/>
  <c r="CS105" i="4"/>
  <c r="CO106" i="4"/>
  <c r="CS106" i="4"/>
  <c r="CQ58" i="3"/>
  <c r="CP59" i="3"/>
  <c r="CO60" i="3"/>
  <c r="CS60" i="3"/>
  <c r="CN61" i="3"/>
  <c r="CR61" i="3"/>
  <c r="CM62" i="3"/>
  <c r="CQ62" i="3"/>
  <c r="CP63" i="3"/>
  <c r="CO64" i="3"/>
  <c r="CS64" i="3"/>
  <c r="CN65" i="3"/>
  <c r="CR65" i="3"/>
  <c r="CM66" i="3"/>
  <c r="CQ66" i="3"/>
  <c r="CP67" i="3"/>
  <c r="CO68" i="3"/>
  <c r="CS68" i="3"/>
  <c r="CN69" i="3"/>
  <c r="CR69" i="3"/>
  <c r="CM70" i="3"/>
  <c r="CQ70" i="3"/>
  <c r="CP71" i="3"/>
  <c r="CO72" i="3"/>
  <c r="CS72" i="3"/>
  <c r="CN73" i="3"/>
  <c r="CR73" i="3"/>
  <c r="CM74" i="3"/>
  <c r="CQ74" i="3"/>
  <c r="CP75" i="3"/>
  <c r="CO76" i="3"/>
  <c r="CS76" i="3"/>
  <c r="CN77" i="3"/>
  <c r="CR77" i="3"/>
  <c r="CM78" i="3"/>
  <c r="CQ78" i="3"/>
  <c r="CP79" i="3"/>
  <c r="CO80" i="3"/>
  <c r="CS80" i="3"/>
  <c r="CN81" i="3"/>
  <c r="CR81" i="3"/>
  <c r="CM82" i="3"/>
  <c r="CQ82" i="3"/>
  <c r="CP83" i="3"/>
  <c r="CO84" i="3"/>
  <c r="CS84" i="3"/>
  <c r="CN85" i="3"/>
  <c r="CR85" i="3"/>
  <c r="CM86" i="3"/>
  <c r="CQ86" i="3"/>
  <c r="CP87" i="3"/>
  <c r="CO88" i="3"/>
  <c r="CS88" i="3"/>
  <c r="CN89" i="3"/>
  <c r="CR89" i="3"/>
  <c r="CM90" i="3"/>
  <c r="CQ90" i="3"/>
  <c r="CP91" i="3"/>
  <c r="CO92" i="3"/>
  <c r="CS92" i="3"/>
  <c r="CN93" i="3"/>
  <c r="CR93" i="3"/>
  <c r="CM94" i="3"/>
  <c r="CQ94" i="3"/>
  <c r="CP95" i="3"/>
  <c r="CO96" i="3"/>
  <c r="CS96" i="3"/>
  <c r="CN97" i="3"/>
  <c r="CR97" i="3"/>
  <c r="CM98" i="3"/>
  <c r="CQ98" i="3"/>
  <c r="CP99" i="3"/>
  <c r="CO100" i="3"/>
  <c r="CS100" i="3"/>
  <c r="CN101" i="3"/>
  <c r="CR101" i="3"/>
  <c r="CM102" i="3"/>
  <c r="CQ102" i="3"/>
  <c r="CP103" i="3"/>
  <c r="CO104" i="3"/>
  <c r="CS104" i="3"/>
  <c r="CN105" i="3"/>
  <c r="CR105" i="3"/>
  <c r="CN106" i="3"/>
  <c r="CR106" i="3"/>
  <c r="AR20" i="3"/>
  <c r="AR21" i="3" s="1"/>
  <c r="AR22" i="3" s="1"/>
  <c r="AR23" i="3" s="1"/>
  <c r="AR117" i="3"/>
  <c r="AR116" i="4"/>
  <c r="AR16" i="4"/>
  <c r="AR17" i="4" s="1"/>
  <c r="AR18" i="4" s="1"/>
  <c r="AR19" i="4" s="1"/>
  <c r="CN12" i="3"/>
  <c r="CR12" i="3"/>
  <c r="CM13" i="3"/>
  <c r="CQ13" i="3"/>
  <c r="CN14" i="3"/>
  <c r="CR14" i="3"/>
  <c r="CM15" i="3"/>
  <c r="CQ15" i="3"/>
  <c r="CP16" i="3"/>
  <c r="CO17" i="3"/>
  <c r="CS17" i="3"/>
  <c r="CN18" i="3"/>
  <c r="CR18" i="3"/>
  <c r="CM19" i="3"/>
  <c r="CQ19" i="3"/>
  <c r="CP20" i="3"/>
  <c r="CO21" i="3"/>
  <c r="CS21" i="3"/>
  <c r="CN22" i="3"/>
  <c r="CR22" i="3"/>
  <c r="CM23" i="3"/>
  <c r="CQ23" i="3"/>
  <c r="CP24" i="3"/>
  <c r="CO25" i="3"/>
  <c r="CS25" i="3"/>
  <c r="CN26" i="3"/>
  <c r="CR26" i="3"/>
  <c r="CM27" i="3"/>
  <c r="CQ27" i="3"/>
  <c r="CP28" i="3"/>
  <c r="CO29" i="3"/>
  <c r="CS29" i="3"/>
  <c r="CN30" i="3"/>
  <c r="CR30" i="3"/>
  <c r="CM31" i="3"/>
  <c r="CQ31" i="3"/>
  <c r="CP32" i="3"/>
  <c r="CO33" i="3"/>
  <c r="CS33" i="3"/>
  <c r="CN34" i="3"/>
  <c r="CR34" i="3"/>
  <c r="AQ5" i="5"/>
  <c r="CM35" i="3"/>
  <c r="AQ9" i="5"/>
  <c r="CQ35" i="3"/>
  <c r="CP36" i="3"/>
  <c r="CO37" i="3"/>
  <c r="CS37" i="3"/>
  <c r="CN38" i="3"/>
  <c r="CR38" i="3"/>
  <c r="CM39" i="3"/>
  <c r="CQ39" i="3"/>
  <c r="CP40" i="3"/>
  <c r="CO41" i="3"/>
  <c r="CS41" i="3"/>
  <c r="CN42" i="3"/>
  <c r="CR42" i="3"/>
  <c r="CM43" i="3"/>
  <c r="CQ43" i="3"/>
  <c r="CP44" i="3"/>
  <c r="CO45" i="3"/>
  <c r="CS45" i="3"/>
  <c r="CN46" i="3"/>
  <c r="CR46" i="3"/>
  <c r="CM47" i="3"/>
  <c r="CQ47" i="3"/>
  <c r="CP48" i="3"/>
  <c r="CO49" i="3"/>
  <c r="CS49" i="3"/>
  <c r="CN50" i="3"/>
  <c r="CR50" i="3"/>
  <c r="CM51" i="3"/>
  <c r="CQ51" i="3"/>
  <c r="CP52" i="3"/>
  <c r="CO53" i="3"/>
  <c r="CS53" i="3"/>
  <c r="CN54" i="3"/>
  <c r="CR54" i="3"/>
  <c r="CM55" i="3"/>
  <c r="CQ55" i="3"/>
  <c r="CP56" i="3"/>
  <c r="CO57" i="3"/>
  <c r="CS57" i="3"/>
  <c r="CN58" i="3"/>
  <c r="CR58" i="3"/>
  <c r="CM59" i="3"/>
  <c r="CQ59" i="3"/>
  <c r="CP60" i="3"/>
  <c r="CO61" i="3"/>
  <c r="CS61" i="3"/>
  <c r="CN62" i="3"/>
  <c r="CR62" i="3"/>
  <c r="CM63" i="3"/>
  <c r="CQ63" i="3"/>
  <c r="CP64" i="3"/>
  <c r="CO65" i="3"/>
  <c r="CS65" i="3"/>
  <c r="CN66" i="3"/>
  <c r="CR66" i="3"/>
  <c r="CM67" i="3"/>
  <c r="CQ67" i="3"/>
  <c r="CP68" i="3"/>
  <c r="CO69" i="3"/>
  <c r="CS69" i="3"/>
  <c r="CN70" i="3"/>
  <c r="CR70" i="3"/>
  <c r="CM71" i="3"/>
  <c r="CQ71" i="3"/>
  <c r="CP72" i="3"/>
  <c r="CO73" i="3"/>
  <c r="CS73" i="3"/>
  <c r="CN74" i="3"/>
  <c r="CR74" i="3"/>
  <c r="CM75" i="3"/>
  <c r="CQ75" i="3"/>
  <c r="CP76" i="3"/>
  <c r="CO77" i="3"/>
  <c r="CS77" i="3"/>
  <c r="CN78" i="3"/>
  <c r="CR78" i="3"/>
  <c r="CM79" i="3"/>
  <c r="CQ79" i="3"/>
  <c r="CP80" i="3"/>
  <c r="CO81" i="3"/>
  <c r="CS81" i="3"/>
  <c r="CN82" i="3"/>
  <c r="CR82" i="3"/>
  <c r="CM83" i="3"/>
  <c r="CQ83" i="3"/>
  <c r="CP84" i="3"/>
  <c r="CO85" i="3"/>
  <c r="CS85" i="3"/>
  <c r="CN86" i="3"/>
  <c r="CR86" i="3"/>
  <c r="CM87" i="3"/>
  <c r="CQ87" i="3"/>
  <c r="CP88" i="3"/>
  <c r="CO89" i="3"/>
  <c r="CS89" i="3"/>
  <c r="CN90" i="3"/>
  <c r="CR90" i="3"/>
  <c r="CM91" i="3"/>
  <c r="CQ91" i="3"/>
  <c r="CP92" i="3"/>
  <c r="CO93" i="3"/>
  <c r="CS93" i="3"/>
  <c r="CN94" i="3"/>
  <c r="CR94" i="3"/>
  <c r="CM95" i="3"/>
  <c r="CQ95" i="3"/>
  <c r="CP96" i="3"/>
  <c r="CO97" i="3"/>
  <c r="CS97" i="3"/>
  <c r="CN98" i="3"/>
  <c r="CR98" i="3"/>
  <c r="CM99" i="3"/>
  <c r="CQ99" i="3"/>
  <c r="CP100" i="3"/>
  <c r="CO101" i="3"/>
  <c r="CS101" i="3"/>
  <c r="CN102" i="3"/>
  <c r="CR102" i="3"/>
  <c r="CM103" i="3"/>
  <c r="CQ103" i="3"/>
  <c r="CP104" i="3"/>
  <c r="CO105" i="3"/>
  <c r="CS105" i="3"/>
  <c r="CO106" i="3"/>
  <c r="CS106" i="3"/>
  <c r="BQ11" i="4"/>
  <c r="AR5" i="5"/>
  <c r="CM35" i="4"/>
  <c r="AR9" i="5"/>
  <c r="CQ35" i="4"/>
  <c r="AQ8" i="5"/>
  <c r="CP35" i="3"/>
  <c r="AY15" i="4"/>
  <c r="BH14" i="4"/>
  <c r="BQ14" i="4" s="1"/>
  <c r="CO12" i="3"/>
  <c r="CS12" i="3"/>
  <c r="CN13" i="3"/>
  <c r="CR13" i="3"/>
  <c r="CO14" i="3"/>
  <c r="CS14" i="3"/>
  <c r="CN15" i="3"/>
  <c r="CR15" i="3"/>
  <c r="CM16" i="3"/>
  <c r="CQ16" i="3"/>
  <c r="CP17" i="3"/>
  <c r="CO18" i="3"/>
  <c r="CS18" i="3"/>
  <c r="CN19" i="3"/>
  <c r="CR19" i="3"/>
  <c r="CM20" i="3"/>
  <c r="CQ20" i="3"/>
  <c r="CP21" i="3"/>
  <c r="CO22" i="3"/>
  <c r="CS22" i="3"/>
  <c r="CN23" i="3"/>
  <c r="CR23" i="3"/>
  <c r="CM24" i="3"/>
  <c r="CQ24" i="3"/>
  <c r="CP25" i="3"/>
  <c r="CO26" i="3"/>
  <c r="CS26" i="3"/>
  <c r="CN27" i="3"/>
  <c r="CR27" i="3"/>
  <c r="CM28" i="3"/>
  <c r="CQ28" i="3"/>
  <c r="CP29" i="3"/>
  <c r="CO30" i="3"/>
  <c r="CS30" i="3"/>
  <c r="CN31" i="3"/>
  <c r="CR31" i="3"/>
  <c r="CM32" i="3"/>
  <c r="CQ32" i="3"/>
  <c r="CP33" i="3"/>
  <c r="CO34" i="3"/>
  <c r="CS34" i="3"/>
  <c r="AQ6" i="5"/>
  <c r="CN35" i="3"/>
  <c r="AQ10" i="5"/>
  <c r="CR35" i="3"/>
  <c r="CM36" i="3"/>
  <c r="CQ36" i="3"/>
  <c r="CP37" i="3"/>
  <c r="CO38" i="3"/>
  <c r="CS38" i="3"/>
  <c r="CN39" i="3"/>
  <c r="CR39" i="3"/>
  <c r="CM40" i="3"/>
  <c r="AR7" i="5"/>
  <c r="CO35" i="4"/>
  <c r="AR11" i="5"/>
  <c r="CS35" i="4"/>
  <c r="BH12" i="4"/>
  <c r="BQ12" i="4" s="1"/>
  <c r="CM11" i="3"/>
  <c r="CQ11" i="3"/>
  <c r="CP12" i="3"/>
  <c r="CO13" i="3"/>
  <c r="CS13" i="3"/>
  <c r="CP14" i="3"/>
  <c r="CO15" i="3"/>
  <c r="CS15" i="3"/>
  <c r="CN16" i="3"/>
  <c r="CR16" i="3"/>
  <c r="CM17" i="3"/>
  <c r="CQ17" i="3"/>
  <c r="CP18" i="3"/>
  <c r="CO19" i="3"/>
  <c r="CS19" i="3"/>
  <c r="CN20" i="3"/>
  <c r="CR20" i="3"/>
  <c r="CM21" i="3"/>
  <c r="CQ21" i="3"/>
  <c r="CP22" i="3"/>
  <c r="CO23" i="3"/>
  <c r="CS23" i="3"/>
  <c r="CN24" i="3"/>
  <c r="CR24" i="3"/>
  <c r="CM25" i="3"/>
  <c r="CQ25" i="3"/>
  <c r="CP26" i="3"/>
  <c r="CO27" i="3"/>
  <c r="CS27" i="3"/>
  <c r="CN28" i="3"/>
  <c r="CR28" i="3"/>
  <c r="CM29" i="3"/>
  <c r="CQ29" i="3"/>
  <c r="CP30" i="3"/>
  <c r="CO31" i="3"/>
  <c r="CS31" i="3"/>
  <c r="CN32" i="3"/>
  <c r="CR32" i="3"/>
  <c r="CM33" i="3"/>
  <c r="CQ33" i="3"/>
  <c r="CP34" i="3"/>
  <c r="AQ7" i="5"/>
  <c r="CO35" i="3"/>
  <c r="AQ11" i="5"/>
  <c r="CS35" i="3"/>
  <c r="CN36" i="3"/>
  <c r="CR36" i="3"/>
  <c r="CM37" i="3"/>
  <c r="CQ37" i="3"/>
  <c r="CP38" i="3"/>
  <c r="CO39" i="3"/>
  <c r="CS39" i="3"/>
  <c r="CP11" i="4"/>
  <c r="CM12" i="4"/>
  <c r="CQ12" i="4"/>
  <c r="CP13" i="4"/>
  <c r="CM14" i="4"/>
  <c r="CQ14" i="4"/>
  <c r="CP15" i="4"/>
  <c r="CO16" i="4"/>
  <c r="CS16" i="4"/>
  <c r="CN17" i="4"/>
  <c r="CR17" i="4"/>
  <c r="CM18" i="4"/>
  <c r="CQ18" i="4"/>
  <c r="CP19" i="4"/>
  <c r="CO20" i="4"/>
  <c r="CS20" i="4"/>
  <c r="CN21" i="4"/>
  <c r="CR21" i="4"/>
  <c r="CM22" i="4"/>
  <c r="CQ22" i="4"/>
  <c r="CP23" i="4"/>
  <c r="CO24" i="4"/>
  <c r="CS24" i="4"/>
  <c r="CN25" i="4"/>
  <c r="CR25" i="4"/>
  <c r="CM26" i="4"/>
  <c r="CQ26" i="4"/>
  <c r="CP27" i="4"/>
  <c r="CO28" i="4"/>
  <c r="CS28" i="4"/>
  <c r="CN29" i="4"/>
  <c r="CR29" i="4"/>
  <c r="CM30" i="4"/>
  <c r="CQ30" i="4"/>
  <c r="CP31" i="4"/>
  <c r="CO32" i="4"/>
  <c r="CS32" i="4"/>
  <c r="CN33" i="4"/>
  <c r="CR33" i="4"/>
  <c r="CM34" i="4"/>
  <c r="CQ34" i="4"/>
  <c r="AR8" i="5"/>
  <c r="CP35" i="4"/>
  <c r="CO36" i="4"/>
  <c r="CS36" i="4"/>
  <c r="CN37" i="4"/>
  <c r="CR37" i="4"/>
  <c r="CM38" i="4"/>
  <c r="CQ38" i="4"/>
  <c r="CP39" i="4"/>
  <c r="CO40" i="4"/>
  <c r="CS40" i="4"/>
  <c r="CN41" i="4"/>
  <c r="CR41" i="4"/>
  <c r="CM42" i="4"/>
  <c r="CQ42" i="4"/>
  <c r="CP43" i="4"/>
  <c r="CO44" i="4"/>
  <c r="CS44" i="4"/>
  <c r="CN45" i="4"/>
  <c r="CR45" i="4"/>
  <c r="CM46" i="4"/>
  <c r="CQ46" i="4"/>
  <c r="CP47" i="4"/>
  <c r="CO48" i="4"/>
  <c r="CS48" i="4"/>
  <c r="CN49" i="4"/>
  <c r="CR49" i="4"/>
  <c r="CM50" i="4"/>
  <c r="CQ50" i="4"/>
  <c r="CP51" i="4"/>
  <c r="CO52" i="4"/>
  <c r="CS52" i="4"/>
  <c r="CN53" i="4"/>
  <c r="CR53" i="4"/>
  <c r="CM54" i="4"/>
  <c r="CQ54" i="4"/>
  <c r="CP55" i="4"/>
  <c r="CO56" i="4"/>
  <c r="CS56" i="4"/>
  <c r="CN57" i="4"/>
  <c r="CR57" i="4"/>
  <c r="CM58" i="4"/>
  <c r="CQ58" i="4"/>
  <c r="CP59" i="4"/>
  <c r="CO60" i="4"/>
  <c r="CS60" i="4"/>
  <c r="CN61" i="4"/>
  <c r="CR61" i="4"/>
  <c r="CM62" i="4"/>
  <c r="CQ62" i="4"/>
  <c r="CP63" i="4"/>
  <c r="CO64" i="4"/>
  <c r="CS64" i="4"/>
  <c r="CN65" i="4"/>
  <c r="CR65" i="4"/>
  <c r="CM66" i="4"/>
  <c r="CQ66" i="4"/>
  <c r="CP67" i="4"/>
  <c r="CO68" i="4"/>
  <c r="CS68" i="4"/>
  <c r="CN69" i="4"/>
  <c r="CR69" i="4"/>
  <c r="CM70" i="4"/>
  <c r="CQ70" i="4"/>
  <c r="CP71" i="4"/>
  <c r="CO72" i="4"/>
  <c r="CS72" i="4"/>
  <c r="CN73" i="4"/>
  <c r="CR73" i="4"/>
  <c r="CM74" i="4"/>
  <c r="CQ74" i="4"/>
  <c r="CP75" i="4"/>
  <c r="CO76" i="4"/>
  <c r="CS76" i="4"/>
  <c r="CN77" i="4"/>
  <c r="CR77" i="4"/>
  <c r="CM78" i="4"/>
  <c r="CQ78" i="4"/>
  <c r="CP79" i="4"/>
  <c r="CO80" i="4"/>
  <c r="CS80" i="4"/>
  <c r="CN81" i="4"/>
  <c r="CR81" i="4"/>
  <c r="CM82" i="4"/>
  <c r="CQ82" i="4"/>
  <c r="CP83" i="4"/>
  <c r="CO84" i="4"/>
  <c r="CS84" i="4"/>
  <c r="CN85" i="4"/>
  <c r="CR85" i="4"/>
  <c r="CM86" i="4"/>
  <c r="CQ86" i="4"/>
  <c r="CP87" i="4"/>
  <c r="CO88" i="4"/>
  <c r="CS88" i="4"/>
  <c r="CN89" i="4"/>
  <c r="CR89" i="4"/>
  <c r="CM90" i="4"/>
  <c r="CQ90" i="4"/>
  <c r="CP91" i="4"/>
  <c r="CO92" i="4"/>
  <c r="CS92" i="4"/>
  <c r="CN93" i="4"/>
  <c r="CR93" i="4"/>
  <c r="CM94" i="4"/>
  <c r="CQ94" i="4"/>
  <c r="CP95" i="4"/>
  <c r="CO96" i="4"/>
  <c r="CS96" i="4"/>
  <c r="CN97" i="4"/>
  <c r="CR97" i="4"/>
  <c r="CM98" i="4"/>
  <c r="CQ98" i="4"/>
  <c r="CP99" i="4"/>
  <c r="CO100" i="4"/>
  <c r="CS100" i="4"/>
  <c r="CN101" i="4"/>
  <c r="CR101" i="4"/>
  <c r="CM102" i="4"/>
  <c r="CQ102" i="4"/>
  <c r="CP103" i="4"/>
  <c r="CO104" i="4"/>
  <c r="CS104" i="4"/>
  <c r="CN105" i="4"/>
  <c r="CR105" i="4"/>
  <c r="CN106" i="4"/>
  <c r="CR106" i="4"/>
  <c r="CQ40" i="3"/>
  <c r="CP41" i="3"/>
  <c r="CO42" i="3"/>
  <c r="CS42" i="3"/>
  <c r="CN43" i="3"/>
  <c r="CR43" i="3"/>
  <c r="CM44" i="3"/>
  <c r="CQ44" i="3"/>
  <c r="CP45" i="3"/>
  <c r="CO46" i="3"/>
  <c r="CS46" i="3"/>
  <c r="CN47" i="3"/>
  <c r="CR47" i="3"/>
  <c r="CM48" i="3"/>
  <c r="CQ48" i="3"/>
  <c r="CP49" i="3"/>
  <c r="CO50" i="3"/>
  <c r="CS50" i="3"/>
  <c r="CN51" i="3"/>
  <c r="CR51" i="3"/>
  <c r="CM52" i="3"/>
  <c r="CQ52" i="3"/>
  <c r="CP53" i="3"/>
  <c r="CO54" i="3"/>
  <c r="CS54" i="3"/>
  <c r="CN55" i="3"/>
  <c r="CR55" i="3"/>
  <c r="CM56" i="3"/>
  <c r="CQ56" i="3"/>
  <c r="CP57" i="3"/>
  <c r="CO58" i="3"/>
  <c r="CS58" i="3"/>
  <c r="CN59" i="3"/>
  <c r="CR59" i="3"/>
  <c r="CM60" i="3"/>
  <c r="CQ60" i="3"/>
  <c r="CP61" i="3"/>
  <c r="CO62" i="3"/>
  <c r="CS62" i="3"/>
  <c r="CN63" i="3"/>
  <c r="CR63" i="3"/>
  <c r="CM64" i="3"/>
  <c r="CQ64" i="3"/>
  <c r="CP65" i="3"/>
  <c r="CO66" i="3"/>
  <c r="CS66" i="3"/>
  <c r="CN67" i="3"/>
  <c r="CR67" i="3"/>
  <c r="CM68" i="3"/>
  <c r="CQ68" i="3"/>
  <c r="CP69" i="3"/>
  <c r="CO70" i="3"/>
  <c r="CS70" i="3"/>
  <c r="CN71" i="3"/>
  <c r="CR71" i="3"/>
  <c r="CM72" i="3"/>
  <c r="CQ72" i="3"/>
  <c r="CP73" i="3"/>
  <c r="CO74" i="3"/>
  <c r="CS74" i="3"/>
  <c r="CN75" i="3"/>
  <c r="CR75" i="3"/>
  <c r="CM76" i="3"/>
  <c r="CQ76" i="3"/>
  <c r="CP77" i="3"/>
  <c r="CO78" i="3"/>
  <c r="CS78" i="3"/>
  <c r="CN79" i="3"/>
  <c r="CR79" i="3"/>
  <c r="CM80" i="3"/>
  <c r="CQ80" i="3"/>
  <c r="CP81" i="3"/>
  <c r="CO82" i="3"/>
  <c r="CS82" i="3"/>
  <c r="CN83" i="3"/>
  <c r="CR83" i="3"/>
  <c r="CM84" i="3"/>
  <c r="CQ84" i="3"/>
  <c r="CP85" i="3"/>
  <c r="CO86" i="3"/>
  <c r="CS86" i="3"/>
  <c r="CN87" i="3"/>
  <c r="CR87" i="3"/>
  <c r="CM88" i="3"/>
  <c r="CQ88" i="3"/>
  <c r="CP89" i="3"/>
  <c r="CO90" i="3"/>
  <c r="CS90" i="3"/>
  <c r="CN91" i="3"/>
  <c r="CR91" i="3"/>
  <c r="CM92" i="3"/>
  <c r="CQ92" i="3"/>
  <c r="CP93" i="3"/>
  <c r="CO94" i="3"/>
  <c r="CS94" i="3"/>
  <c r="CN95" i="3"/>
  <c r="CR95" i="3"/>
  <c r="CM96" i="3"/>
  <c r="CQ96" i="3"/>
  <c r="CP97" i="3"/>
  <c r="CO98" i="3"/>
  <c r="CS98" i="3"/>
  <c r="CN99" i="3"/>
  <c r="CR99" i="3"/>
  <c r="CM100" i="3"/>
  <c r="CQ100" i="3"/>
  <c r="CP101" i="3"/>
  <c r="CO102" i="3"/>
  <c r="CS102" i="3"/>
  <c r="CN103" i="3"/>
  <c r="CR103" i="3"/>
  <c r="CM104" i="3"/>
  <c r="CQ104" i="3"/>
  <c r="CP105" i="3"/>
  <c r="CP106" i="3"/>
  <c r="CO11" i="4"/>
  <c r="CS11" i="4"/>
  <c r="CO12" i="4"/>
  <c r="CS12" i="4"/>
  <c r="CN13" i="4"/>
  <c r="CR13" i="4"/>
  <c r="CO14" i="4"/>
  <c r="CS14" i="4"/>
  <c r="CN15" i="4"/>
  <c r="CR15" i="4"/>
  <c r="CM16" i="4"/>
  <c r="CQ16" i="4"/>
  <c r="CP17" i="4"/>
  <c r="CO18" i="4"/>
  <c r="CS18" i="4"/>
  <c r="CN19" i="4"/>
  <c r="CR19" i="4"/>
  <c r="CM20" i="4"/>
  <c r="CQ20" i="4"/>
  <c r="CP21" i="4"/>
  <c r="CO22" i="4"/>
  <c r="CS22" i="4"/>
  <c r="CN23" i="4"/>
  <c r="CR23" i="4"/>
  <c r="CM24" i="4"/>
  <c r="CQ24" i="4"/>
  <c r="CP25" i="4"/>
  <c r="CO26" i="4"/>
  <c r="CS26" i="4"/>
  <c r="CN27" i="4"/>
  <c r="CR27" i="4"/>
  <c r="CM28" i="4"/>
  <c r="CQ28" i="4"/>
  <c r="CP29" i="4"/>
  <c r="CO30" i="4"/>
  <c r="CS30" i="4"/>
  <c r="CN31" i="4"/>
  <c r="CR31" i="4"/>
  <c r="CM32" i="4"/>
  <c r="CQ32" i="4"/>
  <c r="CP33" i="4"/>
  <c r="CO34" i="4"/>
  <c r="CS34" i="4"/>
  <c r="AR6" i="5"/>
  <c r="CN35" i="4"/>
  <c r="AR10" i="5"/>
  <c r="CR35" i="4"/>
  <c r="CM36" i="4"/>
  <c r="CQ36" i="4"/>
  <c r="CP37" i="4"/>
  <c r="CO38" i="4"/>
  <c r="CS38" i="4"/>
  <c r="CN39" i="4"/>
  <c r="CR39" i="4"/>
  <c r="CM40" i="4"/>
  <c r="CQ40" i="4"/>
  <c r="CP41" i="4"/>
  <c r="CO42" i="4"/>
  <c r="CS42" i="4"/>
  <c r="CN43" i="4"/>
  <c r="CR43" i="4"/>
  <c r="CM44" i="4"/>
  <c r="CQ44" i="4"/>
  <c r="CP45" i="4"/>
  <c r="CO46" i="4"/>
  <c r="CS46" i="4"/>
  <c r="CN47" i="4"/>
  <c r="CR47" i="4"/>
  <c r="CM48" i="4"/>
  <c r="CQ48" i="4"/>
  <c r="CP49" i="4"/>
  <c r="CO50" i="4"/>
  <c r="CS50" i="4"/>
  <c r="CN51" i="4"/>
  <c r="CR51" i="4"/>
  <c r="CM52" i="4"/>
  <c r="CQ52" i="4"/>
  <c r="CP53" i="4"/>
  <c r="CO54" i="4"/>
  <c r="CS54" i="4"/>
  <c r="CN55" i="4"/>
  <c r="CR55" i="4"/>
  <c r="CM56" i="4"/>
  <c r="CQ56" i="4"/>
  <c r="CP57" i="4"/>
  <c r="CO58" i="4"/>
  <c r="CS58" i="4"/>
  <c r="CN59" i="4"/>
  <c r="CR59" i="4"/>
  <c r="CM60" i="4"/>
  <c r="CQ60" i="4"/>
  <c r="CP61" i="4"/>
  <c r="CO62" i="4"/>
  <c r="CS62" i="4"/>
  <c r="CN63" i="4"/>
  <c r="CR63" i="4"/>
  <c r="CM64" i="4"/>
  <c r="CQ64" i="4"/>
  <c r="CP65" i="4"/>
  <c r="CO66" i="4"/>
  <c r="CS66" i="4"/>
  <c r="CN67" i="4"/>
  <c r="CR67" i="4"/>
  <c r="CM68" i="4"/>
  <c r="CQ68" i="4"/>
  <c r="CP69" i="4"/>
  <c r="CO70" i="4"/>
  <c r="CS70" i="4"/>
  <c r="CN71" i="4"/>
  <c r="CR71" i="4"/>
  <c r="CM72" i="4"/>
  <c r="CQ72" i="4"/>
  <c r="CP73" i="4"/>
  <c r="CO74" i="4"/>
  <c r="CS74" i="4"/>
  <c r="CN75" i="4"/>
  <c r="CR75" i="4"/>
  <c r="CM76" i="4"/>
  <c r="CQ76" i="4"/>
  <c r="CP77" i="4"/>
  <c r="CO78" i="4"/>
  <c r="CS78" i="4"/>
  <c r="CN79" i="4"/>
  <c r="CR79" i="4"/>
  <c r="CM80" i="4"/>
  <c r="CQ80" i="4"/>
  <c r="CP81" i="4"/>
  <c r="CO82" i="4"/>
  <c r="CS82" i="4"/>
  <c r="CN83" i="4"/>
  <c r="CR83" i="4"/>
  <c r="CM84" i="4"/>
  <c r="CQ84" i="4"/>
  <c r="CP85" i="4"/>
  <c r="CO86" i="4"/>
  <c r="CS86" i="4"/>
  <c r="CN87" i="4"/>
  <c r="CR87" i="4"/>
  <c r="CM88" i="4"/>
  <c r="CQ88" i="4"/>
  <c r="CP89" i="4"/>
  <c r="CO90" i="4"/>
  <c r="CS90" i="4"/>
  <c r="CN91" i="4"/>
  <c r="CR91" i="4"/>
  <c r="CM92" i="4"/>
  <c r="CQ92" i="4"/>
  <c r="CP93" i="4"/>
  <c r="CO94" i="4"/>
  <c r="CS94" i="4"/>
  <c r="CN95" i="4"/>
  <c r="CR95" i="4"/>
  <c r="CM96" i="4"/>
  <c r="CQ96" i="4"/>
  <c r="CP97" i="4"/>
  <c r="CO98" i="4"/>
  <c r="CS98" i="4"/>
  <c r="CN99" i="4"/>
  <c r="CR99" i="4"/>
  <c r="CM100" i="4"/>
  <c r="CQ100" i="4"/>
  <c r="CP101" i="4"/>
  <c r="CO102" i="4"/>
  <c r="CS102" i="4"/>
  <c r="CN103" i="4"/>
  <c r="CR103" i="4"/>
  <c r="CM104" i="4"/>
  <c r="CQ104" i="4"/>
  <c r="CP105" i="4"/>
  <c r="CP106" i="4"/>
  <c r="A117" i="3"/>
  <c r="A224" i="3" s="1"/>
  <c r="A331" i="3" s="1"/>
  <c r="A438" i="3" s="1"/>
  <c r="A545" i="3" s="1"/>
  <c r="A652" i="3" s="1"/>
  <c r="AZ115" i="3"/>
  <c r="BB116" i="3"/>
  <c r="BF116" i="3"/>
  <c r="BB117" i="3"/>
  <c r="BF117" i="3"/>
  <c r="BB118" i="3"/>
  <c r="BF118" i="3"/>
  <c r="BB119" i="3"/>
  <c r="BF119" i="3"/>
  <c r="BB120" i="3"/>
  <c r="BF120" i="3"/>
  <c r="BB121" i="3"/>
  <c r="BF121" i="3"/>
  <c r="BB122" i="3"/>
  <c r="BF122" i="3"/>
  <c r="BB123" i="3"/>
  <c r="BF123" i="3"/>
  <c r="BB124" i="3"/>
  <c r="BF124" i="3"/>
  <c r="BB125" i="3"/>
  <c r="BF125" i="3"/>
  <c r="BB126" i="3"/>
  <c r="BF126" i="3"/>
  <c r="BB127" i="3"/>
  <c r="BF127" i="3"/>
  <c r="BB128" i="3"/>
  <c r="BF128" i="3"/>
  <c r="BB129" i="3"/>
  <c r="BF129" i="3"/>
  <c r="BB130" i="3"/>
  <c r="BF130" i="3"/>
  <c r="BB131" i="3"/>
  <c r="BF131" i="3"/>
  <c r="BB132" i="3"/>
  <c r="BF132" i="3"/>
  <c r="BB133" i="3"/>
  <c r="BF133" i="3"/>
  <c r="BB134" i="3"/>
  <c r="BF134" i="3"/>
  <c r="BB135" i="3"/>
  <c r="BF135" i="3"/>
  <c r="BB136" i="3"/>
  <c r="BF136" i="3"/>
  <c r="BB137" i="3"/>
  <c r="BF137" i="3"/>
  <c r="BB138" i="3"/>
  <c r="BF138" i="3"/>
  <c r="BA115" i="4"/>
  <c r="BE115" i="4"/>
  <c r="AZ116" i="4"/>
  <c r="BD116" i="4"/>
  <c r="AZ117" i="4"/>
  <c r="BD117" i="4"/>
  <c r="AZ118" i="4"/>
  <c r="BD118" i="4"/>
  <c r="AZ119" i="4"/>
  <c r="BD119" i="4"/>
  <c r="AZ120" i="4"/>
  <c r="BD120" i="4"/>
  <c r="AZ121" i="4"/>
  <c r="BD121" i="4"/>
  <c r="AZ122" i="4"/>
  <c r="BD122" i="4"/>
  <c r="AZ123" i="4"/>
  <c r="BD123" i="4"/>
  <c r="AZ124" i="4"/>
  <c r="BD124" i="4"/>
  <c r="AZ125" i="4"/>
  <c r="BD125" i="4"/>
  <c r="AZ126" i="4"/>
  <c r="BD126" i="4"/>
  <c r="AZ127" i="4"/>
  <c r="BD127" i="4"/>
  <c r="AZ128" i="4"/>
  <c r="BD128" i="4"/>
  <c r="AZ129" i="4"/>
  <c r="BD129" i="4"/>
  <c r="AZ130" i="4"/>
  <c r="BD130" i="4"/>
  <c r="AZ131" i="4"/>
  <c r="BD131" i="4"/>
  <c r="AZ132" i="4"/>
  <c r="BD132" i="4"/>
  <c r="AZ133" i="4"/>
  <c r="BD133" i="4"/>
  <c r="AZ134" i="4"/>
  <c r="BD134" i="4"/>
  <c r="AZ135" i="4"/>
  <c r="BD135" i="4"/>
  <c r="AZ136" i="4"/>
  <c r="BD136" i="4"/>
  <c r="AZ137" i="4"/>
  <c r="BD137" i="4"/>
  <c r="AZ138" i="4"/>
  <c r="BD138" i="4"/>
  <c r="BD115" i="3"/>
  <c r="BB115" i="3"/>
  <c r="BF115" i="3"/>
  <c r="AZ116" i="3"/>
  <c r="BD116" i="3"/>
  <c r="AZ117" i="3"/>
  <c r="BD117" i="3"/>
  <c r="AZ118" i="3"/>
  <c r="BD118" i="3"/>
  <c r="AZ119" i="3"/>
  <c r="BD119" i="3"/>
  <c r="AZ120" i="3"/>
  <c r="BD120" i="3"/>
  <c r="AZ121" i="3"/>
  <c r="BD121" i="3"/>
  <c r="AZ122" i="3"/>
  <c r="BD122" i="3"/>
  <c r="AZ123" i="3"/>
  <c r="BD123" i="3"/>
  <c r="AZ124" i="3"/>
  <c r="BD124" i="3"/>
  <c r="AZ125" i="3"/>
  <c r="BD125" i="3"/>
  <c r="AZ126" i="3"/>
  <c r="BD126" i="3"/>
  <c r="AZ127" i="3"/>
  <c r="BD127" i="3"/>
  <c r="AZ128" i="3"/>
  <c r="BD128" i="3"/>
  <c r="AZ129" i="3"/>
  <c r="BD129" i="3"/>
  <c r="AZ130" i="3"/>
  <c r="BD130" i="3"/>
  <c r="AZ131" i="3"/>
  <c r="BD131" i="3"/>
  <c r="AZ132" i="3"/>
  <c r="BD132" i="3"/>
  <c r="AZ133" i="3"/>
  <c r="BD133" i="3"/>
  <c r="AZ134" i="3"/>
  <c r="BD134" i="3"/>
  <c r="AZ135" i="3"/>
  <c r="BD135" i="3"/>
  <c r="AZ136" i="3"/>
  <c r="BD136" i="3"/>
  <c r="AZ137" i="3"/>
  <c r="BD137" i="3"/>
  <c r="AZ138" i="3"/>
  <c r="BD138" i="3"/>
  <c r="BC115" i="4"/>
  <c r="BB116" i="4"/>
  <c r="BF116" i="4"/>
  <c r="BB117" i="4"/>
  <c r="BF117" i="4"/>
  <c r="BB118" i="4"/>
  <c r="BF118" i="4"/>
  <c r="BB119" i="4"/>
  <c r="BF119" i="4"/>
  <c r="BB120" i="4"/>
  <c r="BF120" i="4"/>
  <c r="BB121" i="4"/>
  <c r="BF121" i="4"/>
  <c r="BB122" i="4"/>
  <c r="BF122" i="4"/>
  <c r="BB123" i="4"/>
  <c r="BF123" i="4"/>
  <c r="BB124" i="4"/>
  <c r="BF124" i="4"/>
  <c r="BB125" i="4"/>
  <c r="BF125" i="4"/>
  <c r="BB126" i="4"/>
  <c r="BF126" i="4"/>
  <c r="BB127" i="4"/>
  <c r="BF127" i="4"/>
  <c r="BB128" i="4"/>
  <c r="BF128" i="4"/>
  <c r="BB129" i="4"/>
  <c r="BF129" i="4"/>
  <c r="BB130" i="4"/>
  <c r="BF130" i="4"/>
  <c r="BB131" i="4"/>
  <c r="BF131" i="4"/>
  <c r="BB132" i="4"/>
  <c r="BF132" i="4"/>
  <c r="BB133" i="4"/>
  <c r="BF133" i="4"/>
  <c r="BB134" i="4"/>
  <c r="BF134" i="4"/>
  <c r="BB135" i="4"/>
  <c r="BF135" i="4"/>
  <c r="BB136" i="4"/>
  <c r="BF136" i="4"/>
  <c r="BB137" i="4"/>
  <c r="BF137" i="4"/>
  <c r="BB138" i="4"/>
  <c r="BF138" i="4"/>
  <c r="BC115" i="3"/>
  <c r="BA116" i="3"/>
  <c r="BE116" i="3"/>
  <c r="BA117" i="3"/>
  <c r="BE117" i="3"/>
  <c r="BA118" i="3"/>
  <c r="BE118" i="3"/>
  <c r="BA119" i="3"/>
  <c r="BE119" i="3"/>
  <c r="BA120" i="3"/>
  <c r="BE120" i="3"/>
  <c r="BA121" i="3"/>
  <c r="BE121" i="3"/>
  <c r="BA122" i="3"/>
  <c r="BE122" i="3"/>
  <c r="BA123" i="3"/>
  <c r="BE123" i="3"/>
  <c r="BA124" i="3"/>
  <c r="BE124" i="3"/>
  <c r="BA125" i="3"/>
  <c r="BE125" i="3"/>
  <c r="BA126" i="3"/>
  <c r="BE126" i="3"/>
  <c r="BA127" i="3"/>
  <c r="BE127" i="3"/>
  <c r="BA128" i="3"/>
  <c r="BE128" i="3"/>
  <c r="BA129" i="3"/>
  <c r="BE129" i="3"/>
  <c r="BA130" i="3"/>
  <c r="BE130" i="3"/>
  <c r="BA131" i="3"/>
  <c r="BE131" i="3"/>
  <c r="BA132" i="3"/>
  <c r="BE132" i="3"/>
  <c r="BA133" i="3"/>
  <c r="BE133" i="3"/>
  <c r="BA134" i="3"/>
  <c r="BE134" i="3"/>
  <c r="BA135" i="3"/>
  <c r="BE135" i="3"/>
  <c r="BA136" i="3"/>
  <c r="BE136" i="3"/>
  <c r="BA137" i="3"/>
  <c r="BE137" i="3"/>
  <c r="BA138" i="3"/>
  <c r="BE138" i="3"/>
  <c r="AZ115" i="4"/>
  <c r="BD115" i="4"/>
  <c r="BC116" i="4"/>
  <c r="BC117" i="4"/>
  <c r="BC118" i="4"/>
  <c r="BC119" i="4"/>
  <c r="BC120" i="4"/>
  <c r="BC121" i="4"/>
  <c r="BC122" i="4"/>
  <c r="BC123" i="4"/>
  <c r="BC124" i="4"/>
  <c r="BC125" i="4"/>
  <c r="BC126" i="4"/>
  <c r="BC127" i="4"/>
  <c r="BC128" i="4"/>
  <c r="BC129" i="4"/>
  <c r="BC130" i="4"/>
  <c r="BC131" i="4"/>
  <c r="BC132" i="4"/>
  <c r="BC133" i="4"/>
  <c r="BC134" i="4"/>
  <c r="BC135" i="4"/>
  <c r="BC136" i="4"/>
  <c r="BC137" i="4"/>
  <c r="BC138" i="4"/>
  <c r="BA115" i="3"/>
  <c r="BE115" i="3"/>
  <c r="BC116" i="3"/>
  <c r="BC117" i="3"/>
  <c r="BC118" i="3"/>
  <c r="BC119" i="3"/>
  <c r="BC120" i="3"/>
  <c r="BC121" i="3"/>
  <c r="BC122" i="3"/>
  <c r="BC123" i="3"/>
  <c r="BC124" i="3"/>
  <c r="BC125" i="3"/>
  <c r="BC126" i="3"/>
  <c r="BC127" i="3"/>
  <c r="BC128" i="3"/>
  <c r="BC129" i="3"/>
  <c r="BC130" i="3"/>
  <c r="BC131" i="3"/>
  <c r="BC132" i="3"/>
  <c r="BC133" i="3"/>
  <c r="BC134" i="3"/>
  <c r="BC135" i="3"/>
  <c r="BC136" i="3"/>
  <c r="BC137" i="3"/>
  <c r="BC138" i="3"/>
  <c r="BB115" i="4"/>
  <c r="BF115" i="4"/>
  <c r="BA116" i="4"/>
  <c r="BE116" i="4"/>
  <c r="BA117" i="4"/>
  <c r="BE117" i="4"/>
  <c r="BA118" i="4"/>
  <c r="BE118" i="4"/>
  <c r="BA119" i="4"/>
  <c r="BE119" i="4"/>
  <c r="BA120" i="4"/>
  <c r="BE120" i="4"/>
  <c r="BA121" i="4"/>
  <c r="BE121" i="4"/>
  <c r="BA122" i="4"/>
  <c r="BE122" i="4"/>
  <c r="BA123" i="4"/>
  <c r="BE123" i="4"/>
  <c r="BA124" i="4"/>
  <c r="BE124" i="4"/>
  <c r="BA125" i="4"/>
  <c r="BE125" i="4"/>
  <c r="BA126" i="4"/>
  <c r="BE126" i="4"/>
  <c r="BA127" i="4"/>
  <c r="BE127" i="4"/>
  <c r="BA128" i="4"/>
  <c r="BE128" i="4"/>
  <c r="BA129" i="4"/>
  <c r="BE129" i="4"/>
  <c r="BA130" i="4"/>
  <c r="BE130" i="4"/>
  <c r="BA131" i="4"/>
  <c r="BE131" i="4"/>
  <c r="BA132" i="4"/>
  <c r="BE132" i="4"/>
  <c r="BA133" i="4"/>
  <c r="BE133" i="4"/>
  <c r="BA134" i="4"/>
  <c r="BE134" i="4"/>
  <c r="BA135" i="4"/>
  <c r="BE135" i="4"/>
  <c r="BA136" i="4"/>
  <c r="BE136" i="4"/>
  <c r="BA137" i="4"/>
  <c r="BE137" i="4"/>
  <c r="BA138" i="4"/>
  <c r="BE138" i="4"/>
  <c r="AB9" i="4"/>
  <c r="R9" i="3"/>
  <c r="V9" i="4"/>
  <c r="Z9" i="4"/>
  <c r="S9" i="3"/>
  <c r="Q9" i="3"/>
  <c r="U9" i="3"/>
  <c r="Y9" i="3"/>
  <c r="AB9" i="3"/>
  <c r="W9" i="3"/>
  <c r="Q9" i="4"/>
  <c r="U9" i="4"/>
  <c r="Y9" i="4"/>
  <c r="R9" i="4"/>
  <c r="P9" i="4"/>
  <c r="T9" i="4"/>
  <c r="X9" i="4"/>
  <c r="W9" i="4"/>
  <c r="BT115" i="4"/>
  <c r="O9" i="3"/>
  <c r="AA9" i="3"/>
  <c r="BI9" i="4"/>
  <c r="BA9" i="4"/>
  <c r="CE9" i="4" s="1"/>
  <c r="AZ8" i="4"/>
  <c r="CD9" i="3"/>
  <c r="BB9" i="3"/>
  <c r="CE9" i="3"/>
  <c r="BJ9" i="3"/>
  <c r="BJ114" i="3" s="1"/>
  <c r="CO4" i="5" s="1"/>
  <c r="BA8" i="3"/>
  <c r="BI9" i="3"/>
  <c r="BI114" i="3" s="1"/>
  <c r="CN4" i="5" s="1"/>
  <c r="AZ8" i="3"/>
  <c r="V9" i="3"/>
  <c r="Z9" i="3"/>
  <c r="P9" i="3"/>
  <c r="T9" i="3"/>
  <c r="X9" i="3"/>
  <c r="BV116" i="3"/>
  <c r="BV117" i="3"/>
  <c r="BV119" i="3"/>
  <c r="BR115" i="3"/>
  <c r="BV115" i="3"/>
  <c r="BR121" i="3"/>
  <c r="BV122" i="3"/>
  <c r="CR5" i="5" s="1"/>
  <c r="BV123" i="3"/>
  <c r="CR6" i="5" s="1"/>
  <c r="BR126" i="3"/>
  <c r="CN9" i="5" s="1"/>
  <c r="BV127" i="3"/>
  <c r="CR10" i="5" s="1"/>
  <c r="BV128" i="3"/>
  <c r="CR11" i="5" s="1"/>
  <c r="BT124" i="4"/>
  <c r="CP23" i="5" s="1"/>
  <c r="BT126" i="4"/>
  <c r="CP25" i="5" s="1"/>
  <c r="BT128" i="4"/>
  <c r="CP27" i="5" s="1"/>
  <c r="BX128" i="4"/>
  <c r="CT27" i="5" s="1"/>
  <c r="BT129" i="4"/>
  <c r="CP28" i="5" s="1"/>
  <c r="BT131" i="4"/>
  <c r="CP30" i="5" s="1"/>
  <c r="BX132" i="4"/>
  <c r="CT31" i="5" s="1"/>
  <c r="BT133" i="4"/>
  <c r="CP32" i="5" s="1"/>
  <c r="BT135" i="4"/>
  <c r="BT137" i="4"/>
  <c r="BX137" i="4"/>
  <c r="O9" i="4"/>
  <c r="S9" i="4"/>
  <c r="AA9" i="4"/>
  <c r="BR121" i="4"/>
  <c r="BR130" i="3"/>
  <c r="CN13" i="5" s="1"/>
  <c r="BR132" i="3"/>
  <c r="CN15" i="5" s="1"/>
  <c r="BV133" i="3"/>
  <c r="CR16" i="5" s="1"/>
  <c r="BV136" i="3"/>
  <c r="BV137" i="3"/>
  <c r="BR115" i="4"/>
  <c r="BR117" i="3"/>
  <c r="BV121" i="3"/>
  <c r="BR122" i="3"/>
  <c r="CN5" i="5" s="1"/>
  <c r="BR131" i="3"/>
  <c r="CN14" i="5" s="1"/>
  <c r="BR135" i="3"/>
  <c r="BR137" i="3"/>
  <c r="BR138" i="3"/>
  <c r="BV120" i="4"/>
  <c r="BR116" i="3"/>
  <c r="BR118" i="3"/>
  <c r="BV118" i="3"/>
  <c r="BR119" i="3"/>
  <c r="BR120" i="3"/>
  <c r="BV120" i="3"/>
  <c r="BR124" i="3"/>
  <c r="CN7" i="5" s="1"/>
  <c r="BV124" i="3"/>
  <c r="CR7" i="5" s="1"/>
  <c r="BV125" i="3"/>
  <c r="CR8" i="5" s="1"/>
  <c r="BV126" i="3"/>
  <c r="CR9" i="5" s="1"/>
  <c r="BR127" i="3"/>
  <c r="CN10" i="5" s="1"/>
  <c r="BR129" i="3"/>
  <c r="CN12" i="5" s="1"/>
  <c r="BV130" i="3"/>
  <c r="CR13" i="5" s="1"/>
  <c r="BV132" i="3"/>
  <c r="CR15" i="5" s="1"/>
  <c r="BV134" i="3"/>
  <c r="BV135" i="3"/>
  <c r="BR116" i="4"/>
  <c r="BR117" i="4"/>
  <c r="BV117" i="4"/>
  <c r="BR118" i="4"/>
  <c r="BV119" i="4"/>
  <c r="BR120" i="4"/>
  <c r="BV121" i="4"/>
  <c r="BR123" i="3"/>
  <c r="CN6" i="5" s="1"/>
  <c r="BR125" i="3"/>
  <c r="CN8" i="5" s="1"/>
  <c r="BR128" i="3"/>
  <c r="CN11" i="5" s="1"/>
  <c r="BV129" i="3"/>
  <c r="CR12" i="5" s="1"/>
  <c r="BV131" i="3"/>
  <c r="CR14" i="5" s="1"/>
  <c r="BR133" i="3"/>
  <c r="CN16" i="5" s="1"/>
  <c r="BR134" i="3"/>
  <c r="BR136" i="3"/>
  <c r="BV138" i="3"/>
  <c r="BV115" i="4"/>
  <c r="BV116" i="4"/>
  <c r="BV118" i="4"/>
  <c r="BR119" i="4"/>
  <c r="BS115" i="3"/>
  <c r="BW115" i="3"/>
  <c r="BS116" i="3"/>
  <c r="BW116" i="3"/>
  <c r="BS117" i="3"/>
  <c r="BW117" i="3"/>
  <c r="BS118" i="3"/>
  <c r="BW118" i="3"/>
  <c r="BS119" i="3"/>
  <c r="BW119" i="3"/>
  <c r="BS120" i="3"/>
  <c r="BW120" i="3"/>
  <c r="BS121" i="3"/>
  <c r="BW121" i="3"/>
  <c r="BS122" i="3"/>
  <c r="CO5" i="5" s="1"/>
  <c r="BT115" i="3"/>
  <c r="BX115" i="3"/>
  <c r="BT116" i="3"/>
  <c r="BX116" i="3"/>
  <c r="BT117" i="3"/>
  <c r="BX117" i="3"/>
  <c r="BT118" i="3"/>
  <c r="BX118" i="3"/>
  <c r="BT119" i="3"/>
  <c r="BX119" i="3"/>
  <c r="BT120" i="3"/>
  <c r="BX120" i="3"/>
  <c r="BT121" i="3"/>
  <c r="BX121" i="3"/>
  <c r="BT122" i="3"/>
  <c r="CP5" i="5" s="1"/>
  <c r="BX122" i="3"/>
  <c r="CT5" i="5" s="1"/>
  <c r="BT123" i="3"/>
  <c r="CP6" i="5" s="1"/>
  <c r="BX123" i="3"/>
  <c r="CT6" i="5" s="1"/>
  <c r="BT124" i="3"/>
  <c r="CP7" i="5" s="1"/>
  <c r="BX124" i="3"/>
  <c r="CT7" i="5" s="1"/>
  <c r="BU115" i="3"/>
  <c r="BU116" i="3"/>
  <c r="BU117" i="3"/>
  <c r="BU118" i="3"/>
  <c r="BU119" i="3"/>
  <c r="BU120" i="3"/>
  <c r="BU121" i="3"/>
  <c r="BW122" i="3"/>
  <c r="CS5" i="5" s="1"/>
  <c r="BS123" i="3"/>
  <c r="CO6" i="5" s="1"/>
  <c r="BW123" i="3"/>
  <c r="CS6" i="5" s="1"/>
  <c r="BS124" i="3"/>
  <c r="CO7" i="5" s="1"/>
  <c r="BW124" i="3"/>
  <c r="CS7" i="5" s="1"/>
  <c r="BS125" i="3"/>
  <c r="CO8" i="5" s="1"/>
  <c r="BW125" i="3"/>
  <c r="CS8" i="5" s="1"/>
  <c r="BS126" i="3"/>
  <c r="CO9" i="5" s="1"/>
  <c r="BW126" i="3"/>
  <c r="CS9" i="5" s="1"/>
  <c r="BS127" i="3"/>
  <c r="CO10" i="5" s="1"/>
  <c r="BW127" i="3"/>
  <c r="CS10" i="5" s="1"/>
  <c r="BS128" i="3"/>
  <c r="CO11" i="5" s="1"/>
  <c r="BW128" i="3"/>
  <c r="CS11" i="5" s="1"/>
  <c r="BS129" i="3"/>
  <c r="CO12" i="5" s="1"/>
  <c r="BW129" i="3"/>
  <c r="CS12" i="5" s="1"/>
  <c r="BS130" i="3"/>
  <c r="CO13" i="5" s="1"/>
  <c r="BW130" i="3"/>
  <c r="CS13" i="5" s="1"/>
  <c r="BS131" i="3"/>
  <c r="CO14" i="5" s="1"/>
  <c r="BW131" i="3"/>
  <c r="CS14" i="5" s="1"/>
  <c r="BS132" i="3"/>
  <c r="CO15" i="5" s="1"/>
  <c r="BW132" i="3"/>
  <c r="CS15" i="5" s="1"/>
  <c r="BS133" i="3"/>
  <c r="CO16" i="5" s="1"/>
  <c r="BW133" i="3"/>
  <c r="CS16" i="5" s="1"/>
  <c r="BS134" i="3"/>
  <c r="BW134" i="3"/>
  <c r="BS135" i="3"/>
  <c r="BW135" i="3"/>
  <c r="BS136" i="3"/>
  <c r="BW136" i="3"/>
  <c r="BS137" i="3"/>
  <c r="BW137" i="3"/>
  <c r="BS138" i="3"/>
  <c r="BW138" i="3"/>
  <c r="BS115" i="4"/>
  <c r="BW115" i="4"/>
  <c r="BS116" i="4"/>
  <c r="BW116" i="4"/>
  <c r="BS117" i="4"/>
  <c r="BW117" i="4"/>
  <c r="BS118" i="4"/>
  <c r="BW118" i="4"/>
  <c r="BS119" i="4"/>
  <c r="BW119" i="4"/>
  <c r="BS120" i="4"/>
  <c r="BW120" i="4"/>
  <c r="BS121" i="4"/>
  <c r="BW121" i="4"/>
  <c r="BS122" i="4"/>
  <c r="CO21" i="5" s="1"/>
  <c r="BW122" i="4"/>
  <c r="CS21" i="5" s="1"/>
  <c r="BT125" i="3"/>
  <c r="CP8" i="5" s="1"/>
  <c r="BX125" i="3"/>
  <c r="CT8" i="5" s="1"/>
  <c r="BT126" i="3"/>
  <c r="CP9" i="5" s="1"/>
  <c r="BX126" i="3"/>
  <c r="CT9" i="5" s="1"/>
  <c r="BT127" i="3"/>
  <c r="CP10" i="5" s="1"/>
  <c r="BX127" i="3"/>
  <c r="CT10" i="5" s="1"/>
  <c r="BT128" i="3"/>
  <c r="CP11" i="5" s="1"/>
  <c r="BX128" i="3"/>
  <c r="CT11" i="5" s="1"/>
  <c r="BT129" i="3"/>
  <c r="CP12" i="5" s="1"/>
  <c r="BX129" i="3"/>
  <c r="CT12" i="5" s="1"/>
  <c r="BT130" i="3"/>
  <c r="CP13" i="5" s="1"/>
  <c r="BX130" i="3"/>
  <c r="CT13" i="5" s="1"/>
  <c r="BT131" i="3"/>
  <c r="CP14" i="5" s="1"/>
  <c r="BX131" i="3"/>
  <c r="CT14" i="5" s="1"/>
  <c r="BT132" i="3"/>
  <c r="CP15" i="5" s="1"/>
  <c r="BX132" i="3"/>
  <c r="CT15" i="5" s="1"/>
  <c r="BT133" i="3"/>
  <c r="CP16" i="5" s="1"/>
  <c r="BX133" i="3"/>
  <c r="CT16" i="5" s="1"/>
  <c r="BT134" i="3"/>
  <c r="BX134" i="3"/>
  <c r="BT135" i="3"/>
  <c r="BX135" i="3"/>
  <c r="BT136" i="3"/>
  <c r="BX136" i="3"/>
  <c r="BT137" i="3"/>
  <c r="BX137" i="3"/>
  <c r="BT138" i="3"/>
  <c r="BX138" i="3"/>
  <c r="BX115" i="4"/>
  <c r="BT116" i="4"/>
  <c r="BX116" i="4"/>
  <c r="BT117" i="4"/>
  <c r="BX117" i="4"/>
  <c r="BT118" i="4"/>
  <c r="BX118" i="4"/>
  <c r="BT119" i="4"/>
  <c r="BX119" i="4"/>
  <c r="BT120" i="4"/>
  <c r="BX120" i="4"/>
  <c r="BT121" i="4"/>
  <c r="BX121" i="4"/>
  <c r="BT122" i="4"/>
  <c r="CP21" i="5" s="1"/>
  <c r="BX122" i="4"/>
  <c r="CT21" i="5" s="1"/>
  <c r="BT123" i="4"/>
  <c r="CP22" i="5" s="1"/>
  <c r="BX123" i="4"/>
  <c r="CT22" i="5" s="1"/>
  <c r="BX124" i="4"/>
  <c r="CT23" i="5" s="1"/>
  <c r="BT125" i="4"/>
  <c r="CP24" i="5" s="1"/>
  <c r="BX125" i="4"/>
  <c r="CT24" i="5" s="1"/>
  <c r="BX126" i="4"/>
  <c r="CT25" i="5" s="1"/>
  <c r="BT127" i="4"/>
  <c r="CP26" i="5" s="1"/>
  <c r="BX127" i="4"/>
  <c r="CT26" i="5" s="1"/>
  <c r="BX129" i="4"/>
  <c r="CT28" i="5" s="1"/>
  <c r="BT130" i="4"/>
  <c r="CP29" i="5" s="1"/>
  <c r="BX130" i="4"/>
  <c r="CT29" i="5" s="1"/>
  <c r="BX131" i="4"/>
  <c r="CT30" i="5" s="1"/>
  <c r="BT132" i="4"/>
  <c r="CP31" i="5" s="1"/>
  <c r="BX133" i="4"/>
  <c r="CT32" i="5" s="1"/>
  <c r="BT134" i="4"/>
  <c r="BX134" i="4"/>
  <c r="BX135" i="4"/>
  <c r="BT136" i="4"/>
  <c r="BX136" i="4"/>
  <c r="BT138" i="4"/>
  <c r="BX138" i="4"/>
  <c r="BU122" i="3"/>
  <c r="CQ5" i="5" s="1"/>
  <c r="BU123" i="3"/>
  <c r="CQ6" i="5" s="1"/>
  <c r="BU124" i="3"/>
  <c r="CQ7" i="5" s="1"/>
  <c r="BU125" i="3"/>
  <c r="CQ8" i="5" s="1"/>
  <c r="BU126" i="3"/>
  <c r="CQ9" i="5" s="1"/>
  <c r="BU127" i="3"/>
  <c r="CQ10" i="5" s="1"/>
  <c r="BU128" i="3"/>
  <c r="CQ11" i="5" s="1"/>
  <c r="BU129" i="3"/>
  <c r="CQ12" i="5" s="1"/>
  <c r="BU130" i="3"/>
  <c r="CQ13" i="5" s="1"/>
  <c r="BU131" i="3"/>
  <c r="CQ14" i="5" s="1"/>
  <c r="BU132" i="3"/>
  <c r="CQ15" i="5" s="1"/>
  <c r="BU133" i="3"/>
  <c r="CQ16" i="5" s="1"/>
  <c r="BU134" i="3"/>
  <c r="BU135" i="3"/>
  <c r="BU136" i="3"/>
  <c r="BU137" i="3"/>
  <c r="BU138" i="3"/>
  <c r="BU115" i="4"/>
  <c r="BU116" i="4"/>
  <c r="BU117" i="4"/>
  <c r="BU118" i="4"/>
  <c r="BU119" i="4"/>
  <c r="BU120" i="4"/>
  <c r="BU121" i="4"/>
  <c r="BU122" i="4"/>
  <c r="CQ21" i="5" s="1"/>
  <c r="BU123" i="4"/>
  <c r="CQ22" i="5" s="1"/>
  <c r="BU124" i="4"/>
  <c r="CQ23" i="5" s="1"/>
  <c r="BU125" i="4"/>
  <c r="CQ24" i="5" s="1"/>
  <c r="BU126" i="4"/>
  <c r="CQ25" i="5" s="1"/>
  <c r="BU127" i="4"/>
  <c r="CQ26" i="5" s="1"/>
  <c r="BU128" i="4"/>
  <c r="CQ27" i="5" s="1"/>
  <c r="BU129" i="4"/>
  <c r="CQ28" i="5" s="1"/>
  <c r="BU130" i="4"/>
  <c r="CQ29" i="5" s="1"/>
  <c r="BU131" i="4"/>
  <c r="CQ30" i="5" s="1"/>
  <c r="BU132" i="4"/>
  <c r="CQ31" i="5" s="1"/>
  <c r="BU133" i="4"/>
  <c r="CQ32" i="5" s="1"/>
  <c r="BU134" i="4"/>
  <c r="BU135" i="4"/>
  <c r="BU136" i="4"/>
  <c r="BU137" i="4"/>
  <c r="BU138" i="4"/>
  <c r="BR122" i="4"/>
  <c r="CN21" i="5" s="1"/>
  <c r="BV122" i="4"/>
  <c r="CR21" i="5" s="1"/>
  <c r="BR123" i="4"/>
  <c r="CN22" i="5" s="1"/>
  <c r="BV123" i="4"/>
  <c r="CR22" i="5" s="1"/>
  <c r="BR124" i="4"/>
  <c r="CN23" i="5" s="1"/>
  <c r="BV124" i="4"/>
  <c r="CR23" i="5" s="1"/>
  <c r="BR125" i="4"/>
  <c r="CN24" i="5" s="1"/>
  <c r="BV125" i="4"/>
  <c r="CR24" i="5" s="1"/>
  <c r="BR126" i="4"/>
  <c r="CN25" i="5" s="1"/>
  <c r="BV126" i="4"/>
  <c r="CR25" i="5" s="1"/>
  <c r="BR127" i="4"/>
  <c r="CN26" i="5" s="1"/>
  <c r="BV127" i="4"/>
  <c r="CR26" i="5" s="1"/>
  <c r="BR128" i="4"/>
  <c r="CN27" i="5" s="1"/>
  <c r="BV128" i="4"/>
  <c r="CR27" i="5" s="1"/>
  <c r="BR129" i="4"/>
  <c r="CN28" i="5" s="1"/>
  <c r="BV129" i="4"/>
  <c r="CR28" i="5" s="1"/>
  <c r="BR130" i="4"/>
  <c r="CN29" i="5" s="1"/>
  <c r="BV130" i="4"/>
  <c r="CR29" i="5" s="1"/>
  <c r="BR131" i="4"/>
  <c r="CN30" i="5" s="1"/>
  <c r="BV131" i="4"/>
  <c r="CR30" i="5" s="1"/>
  <c r="BR132" i="4"/>
  <c r="CN31" i="5" s="1"/>
  <c r="BV132" i="4"/>
  <c r="CR31" i="5" s="1"/>
  <c r="BR133" i="4"/>
  <c r="CN32" i="5" s="1"/>
  <c r="BV133" i="4"/>
  <c r="CR32" i="5" s="1"/>
  <c r="BR134" i="4"/>
  <c r="BV134" i="4"/>
  <c r="BR135" i="4"/>
  <c r="BV135" i="4"/>
  <c r="BR136" i="4"/>
  <c r="BV136" i="4"/>
  <c r="BR137" i="4"/>
  <c r="BV137" i="4"/>
  <c r="BR138" i="4"/>
  <c r="BV138" i="4"/>
  <c r="BS123" i="4"/>
  <c r="CO22" i="5" s="1"/>
  <c r="BW123" i="4"/>
  <c r="CS22" i="5" s="1"/>
  <c r="BS124" i="4"/>
  <c r="CO23" i="5" s="1"/>
  <c r="BW124" i="4"/>
  <c r="CS23" i="5" s="1"/>
  <c r="BS125" i="4"/>
  <c r="CO24" i="5" s="1"/>
  <c r="BW125" i="4"/>
  <c r="CS24" i="5" s="1"/>
  <c r="BS126" i="4"/>
  <c r="CO25" i="5" s="1"/>
  <c r="BW126" i="4"/>
  <c r="CS25" i="5" s="1"/>
  <c r="BS127" i="4"/>
  <c r="CO26" i="5" s="1"/>
  <c r="BW127" i="4"/>
  <c r="CS26" i="5" s="1"/>
  <c r="BS128" i="4"/>
  <c r="CO27" i="5" s="1"/>
  <c r="BW128" i="4"/>
  <c r="CS27" i="5" s="1"/>
  <c r="BS129" i="4"/>
  <c r="CO28" i="5" s="1"/>
  <c r="BW129" i="4"/>
  <c r="CS28" i="5" s="1"/>
  <c r="BS130" i="4"/>
  <c r="CO29" i="5" s="1"/>
  <c r="BW130" i="4"/>
  <c r="CS29" i="5" s="1"/>
  <c r="BS131" i="4"/>
  <c r="CO30" i="5" s="1"/>
  <c r="BW131" i="4"/>
  <c r="CS30" i="5" s="1"/>
  <c r="BS132" i="4"/>
  <c r="CO31" i="5" s="1"/>
  <c r="BW132" i="4"/>
  <c r="CS31" i="5" s="1"/>
  <c r="BS133" i="4"/>
  <c r="CO32" i="5" s="1"/>
  <c r="BW133" i="4"/>
  <c r="CS32" i="5" s="1"/>
  <c r="BS134" i="4"/>
  <c r="BW134" i="4"/>
  <c r="BS135" i="4"/>
  <c r="BW135" i="4"/>
  <c r="BS136" i="4"/>
  <c r="BW136" i="4"/>
  <c r="BS137" i="4"/>
  <c r="BW137" i="4"/>
  <c r="BS138" i="4"/>
  <c r="BW138" i="4"/>
  <c r="AP115" i="4"/>
  <c r="AP133" i="3"/>
  <c r="AP132" i="3"/>
  <c r="AP126" i="3"/>
  <c r="AP123" i="3"/>
  <c r="AP119" i="4"/>
  <c r="AP131" i="3"/>
  <c r="AP134" i="4"/>
  <c r="AP124" i="4"/>
  <c r="AP136" i="3"/>
  <c r="AP122" i="3"/>
  <c r="AP119" i="3"/>
  <c r="AP137" i="4"/>
  <c r="AP135" i="4"/>
  <c r="AP132" i="4"/>
  <c r="AP128" i="4"/>
  <c r="AP126" i="4"/>
  <c r="AP121" i="4"/>
  <c r="AP115" i="3"/>
  <c r="AP138" i="3"/>
  <c r="AP135" i="3"/>
  <c r="AP129" i="3"/>
  <c r="AP127" i="3"/>
  <c r="AP120" i="3"/>
  <c r="AP138" i="4"/>
  <c r="AP136" i="4"/>
  <c r="AP133" i="4"/>
  <c r="AP131" i="4"/>
  <c r="AP129" i="4"/>
  <c r="AP127" i="4"/>
  <c r="AP125" i="4"/>
  <c r="AP123" i="4"/>
  <c r="AP122" i="4"/>
  <c r="AP120" i="4"/>
  <c r="AP118" i="4"/>
  <c r="AP117" i="4"/>
  <c r="AP116" i="4"/>
  <c r="AP137" i="3"/>
  <c r="AP134" i="3"/>
  <c r="AP130" i="3"/>
  <c r="AP128" i="3"/>
  <c r="AP125" i="3"/>
  <c r="AP124" i="3"/>
  <c r="AP121" i="3"/>
  <c r="AP118" i="3"/>
  <c r="AP117" i="3"/>
  <c r="AP116" i="3"/>
  <c r="AP130" i="4"/>
  <c r="BR9" i="4" l="1"/>
  <c r="BI114" i="4"/>
  <c r="CA133" i="4"/>
  <c r="CA127" i="3"/>
  <c r="CA135" i="4"/>
  <c r="CA129" i="4"/>
  <c r="CA134" i="3"/>
  <c r="CA128" i="3"/>
  <c r="CA120" i="4"/>
  <c r="CA117" i="4"/>
  <c r="CA118" i="3"/>
  <c r="CA137" i="3"/>
  <c r="CA121" i="4"/>
  <c r="CA121" i="3"/>
  <c r="CA131" i="4"/>
  <c r="CA125" i="4"/>
  <c r="CA138" i="4"/>
  <c r="CA136" i="4"/>
  <c r="CA134" i="4"/>
  <c r="CA132" i="4"/>
  <c r="CA130" i="4"/>
  <c r="CA128" i="4"/>
  <c r="CA126" i="4"/>
  <c r="CA124" i="4"/>
  <c r="CA122" i="4"/>
  <c r="CA133" i="3"/>
  <c r="CA125" i="3"/>
  <c r="CA116" i="4"/>
  <c r="CA120" i="3"/>
  <c r="CA116" i="3"/>
  <c r="CA135" i="3"/>
  <c r="CA117" i="3"/>
  <c r="CA126" i="3"/>
  <c r="CA137" i="4"/>
  <c r="CA127" i="4"/>
  <c r="CA119" i="4"/>
  <c r="CA123" i="3"/>
  <c r="CA118" i="4"/>
  <c r="CA129" i="3"/>
  <c r="CA119" i="3"/>
  <c r="CA131" i="3"/>
  <c r="CA115" i="4"/>
  <c r="CA132" i="3"/>
  <c r="CA115" i="3"/>
  <c r="CA123" i="4"/>
  <c r="CA136" i="3"/>
  <c r="CA124" i="3"/>
  <c r="CA138" i="3"/>
  <c r="CA122" i="3"/>
  <c r="CA130" i="3"/>
  <c r="BN123" i="3"/>
  <c r="BI16" i="5"/>
  <c r="BH5" i="5"/>
  <c r="BF16" i="5"/>
  <c r="BE16" i="5" s="1"/>
  <c r="BM121" i="4"/>
  <c r="BN123" i="4"/>
  <c r="BM128" i="4"/>
  <c r="BQ115" i="3"/>
  <c r="BK131" i="3"/>
  <c r="BK115" i="3"/>
  <c r="AY14" i="3"/>
  <c r="BH13" i="3"/>
  <c r="BQ13" i="3" s="1"/>
  <c r="BN133" i="4"/>
  <c r="BI127" i="4"/>
  <c r="BK122" i="4"/>
  <c r="BJ121" i="3"/>
  <c r="BM134" i="4"/>
  <c r="BK123" i="3"/>
  <c r="BJ126" i="3"/>
  <c r="BJ124" i="4"/>
  <c r="BM129" i="4"/>
  <c r="BI116" i="4"/>
  <c r="BJ123" i="4"/>
  <c r="BI124" i="3"/>
  <c r="AR20" i="4"/>
  <c r="AR21" i="4" s="1"/>
  <c r="AR22" i="4" s="1"/>
  <c r="AR23" i="4" s="1"/>
  <c r="AR117" i="4"/>
  <c r="CD5" i="5"/>
  <c r="CD8" i="5" s="1"/>
  <c r="CD11" i="5" s="1"/>
  <c r="BQ115" i="4"/>
  <c r="CC5" i="5"/>
  <c r="CC8" i="5" s="1"/>
  <c r="CC11" i="5" s="1"/>
  <c r="AY16" i="4"/>
  <c r="BH15" i="4"/>
  <c r="AY116" i="4"/>
  <c r="AR24" i="3"/>
  <c r="AR25" i="3" s="1"/>
  <c r="AR26" i="3" s="1"/>
  <c r="AR27" i="3" s="1"/>
  <c r="AR118" i="3"/>
  <c r="BM126" i="4"/>
  <c r="BL116" i="4"/>
  <c r="BK117" i="3"/>
  <c r="BJ138" i="3"/>
  <c r="BJ115" i="3"/>
  <c r="BL123" i="3"/>
  <c r="BL115" i="3"/>
  <c r="BO123" i="4"/>
  <c r="BM127" i="4"/>
  <c r="BM122" i="4"/>
  <c r="BM120" i="4"/>
  <c r="BM124" i="3"/>
  <c r="BM119" i="3"/>
  <c r="BL119" i="3"/>
  <c r="BI129" i="4"/>
  <c r="BK127" i="4"/>
  <c r="BI128" i="4"/>
  <c r="BL125" i="4"/>
  <c r="BJ134" i="3"/>
  <c r="BI118" i="4"/>
  <c r="BI121" i="4"/>
  <c r="BJ133" i="4"/>
  <c r="BJ121" i="4"/>
  <c r="BL137" i="4"/>
  <c r="BL133" i="4"/>
  <c r="BM137" i="4"/>
  <c r="BL138" i="4"/>
  <c r="BM116" i="4"/>
  <c r="BK135" i="3"/>
  <c r="BJ132" i="3"/>
  <c r="BJ119" i="3"/>
  <c r="BL130" i="3"/>
  <c r="BO118" i="4"/>
  <c r="BO133" i="3"/>
  <c r="BM127" i="3"/>
  <c r="BO121" i="4"/>
  <c r="BK120" i="3"/>
  <c r="BO135" i="4"/>
  <c r="BK123" i="4"/>
  <c r="BM115" i="3"/>
  <c r="BK127" i="3"/>
  <c r="BK118" i="3"/>
  <c r="BK116" i="3"/>
  <c r="BN115" i="4"/>
  <c r="BO129" i="4"/>
  <c r="BI115" i="4"/>
  <c r="BI117" i="4"/>
  <c r="BM120" i="3"/>
  <c r="BM117" i="3"/>
  <c r="BN116" i="3"/>
  <c r="BO131" i="4"/>
  <c r="BN128" i="4"/>
  <c r="BJ124" i="3"/>
  <c r="BO126" i="4"/>
  <c r="BM138" i="4"/>
  <c r="BI133" i="4"/>
  <c r="BN136" i="3"/>
  <c r="BI126" i="3"/>
  <c r="BI132" i="3"/>
  <c r="BI118" i="3"/>
  <c r="BI116" i="3"/>
  <c r="BJ127" i="3"/>
  <c r="BJ130" i="4"/>
  <c r="BJ126" i="4"/>
  <c r="BJ125" i="4"/>
  <c r="BJ119" i="4"/>
  <c r="BJ117" i="4"/>
  <c r="BJ120" i="3"/>
  <c r="BJ116" i="3"/>
  <c r="BM137" i="3"/>
  <c r="BM133" i="4"/>
  <c r="BM132" i="4"/>
  <c r="BM131" i="4"/>
  <c r="BM124" i="4"/>
  <c r="BL136" i="4"/>
  <c r="BO117" i="4"/>
  <c r="BO116" i="4"/>
  <c r="BO132" i="3"/>
  <c r="BO126" i="3"/>
  <c r="BO123" i="3"/>
  <c r="BM117" i="4"/>
  <c r="BM138" i="3"/>
  <c r="BM135" i="3"/>
  <c r="BM123" i="3"/>
  <c r="BM122" i="3"/>
  <c r="BM121" i="3"/>
  <c r="BK118" i="4"/>
  <c r="BI121" i="3"/>
  <c r="BJ137" i="4"/>
  <c r="BJ136" i="4"/>
  <c r="BJ135" i="4"/>
  <c r="BJ131" i="4"/>
  <c r="BJ129" i="4"/>
  <c r="BJ128" i="4"/>
  <c r="BJ136" i="3"/>
  <c r="BJ133" i="3"/>
  <c r="BJ117" i="3"/>
  <c r="BL128" i="4"/>
  <c r="BL126" i="3"/>
  <c r="BN115" i="3"/>
  <c r="BO115" i="3"/>
  <c r="BM125" i="4"/>
  <c r="BL124" i="4"/>
  <c r="BO119" i="4"/>
  <c r="BO138" i="3"/>
  <c r="BO136" i="3"/>
  <c r="BO134" i="3"/>
  <c r="BK129" i="3"/>
  <c r="BM133" i="3"/>
  <c r="BM132" i="3"/>
  <c r="BM131" i="3"/>
  <c r="BM130" i="3"/>
  <c r="BM129" i="3"/>
  <c r="BO121" i="3"/>
  <c r="BO119" i="3"/>
  <c r="BO118" i="3"/>
  <c r="BK124" i="3"/>
  <c r="BO120" i="4"/>
  <c r="BK125" i="3"/>
  <c r="BL122" i="3"/>
  <c r="BN117" i="3"/>
  <c r="BI119" i="3"/>
  <c r="BK134" i="4"/>
  <c r="BL127" i="3"/>
  <c r="BK136" i="3"/>
  <c r="BN137" i="4"/>
  <c r="BN135" i="4"/>
  <c r="BN129" i="4"/>
  <c r="BN119" i="4"/>
  <c r="BI135" i="4"/>
  <c r="BI136" i="4"/>
  <c r="BI122" i="4"/>
  <c r="BN137" i="3"/>
  <c r="BI136" i="3"/>
  <c r="BI130" i="3"/>
  <c r="BN122" i="3"/>
  <c r="BL138" i="3"/>
  <c r="BL135" i="3"/>
  <c r="BL134" i="3"/>
  <c r="BL129" i="3"/>
  <c r="BO138" i="4"/>
  <c r="BK137" i="4"/>
  <c r="BK133" i="4"/>
  <c r="BO130" i="4"/>
  <c r="BO128" i="4"/>
  <c r="BO125" i="4"/>
  <c r="BO124" i="4"/>
  <c r="BI134" i="4"/>
  <c r="BL132" i="4"/>
  <c r="BL131" i="4"/>
  <c r="BL126" i="4"/>
  <c r="BL123" i="4"/>
  <c r="BN135" i="3"/>
  <c r="BN133" i="3"/>
  <c r="BN132" i="3"/>
  <c r="BI135" i="3"/>
  <c r="BM119" i="4"/>
  <c r="BI137" i="3"/>
  <c r="BI128" i="3"/>
  <c r="BI117" i="3"/>
  <c r="BN138" i="3"/>
  <c r="BI131" i="4"/>
  <c r="BK120" i="4"/>
  <c r="BJ115" i="4"/>
  <c r="BJ138" i="4"/>
  <c r="BJ134" i="4"/>
  <c r="BJ127" i="4"/>
  <c r="BJ122" i="4"/>
  <c r="BJ120" i="4"/>
  <c r="BJ118" i="4"/>
  <c r="BJ135" i="3"/>
  <c r="BJ131" i="3"/>
  <c r="BJ130" i="3"/>
  <c r="BJ128" i="3"/>
  <c r="BJ125" i="3"/>
  <c r="BJ122" i="3"/>
  <c r="BJ129" i="3"/>
  <c r="BL127" i="4"/>
  <c r="BL137" i="3"/>
  <c r="BL120" i="3"/>
  <c r="BM134" i="3"/>
  <c r="BM116" i="3"/>
  <c r="BO115" i="4"/>
  <c r="BO132" i="4"/>
  <c r="BO120" i="3"/>
  <c r="BM135" i="4"/>
  <c r="BK119" i="4"/>
  <c r="BO137" i="3"/>
  <c r="BO135" i="3"/>
  <c r="BO131" i="3"/>
  <c r="BO124" i="3"/>
  <c r="BM118" i="4"/>
  <c r="BM115" i="4"/>
  <c r="BM128" i="3"/>
  <c r="BM126" i="3"/>
  <c r="BM125" i="3"/>
  <c r="BO122" i="3"/>
  <c r="BO116" i="3"/>
  <c r="BJ118" i="3"/>
  <c r="BK128" i="3"/>
  <c r="BK137" i="3"/>
  <c r="BK126" i="3"/>
  <c r="BK117" i="4"/>
  <c r="BK116" i="4"/>
  <c r="BO128" i="3"/>
  <c r="BM118" i="3"/>
  <c r="BL117" i="3"/>
  <c r="BK126" i="4"/>
  <c r="BL121" i="3"/>
  <c r="BN121" i="4"/>
  <c r="BL119" i="4"/>
  <c r="BN134" i="4"/>
  <c r="BN132" i="4"/>
  <c r="BN131" i="4"/>
  <c r="BN127" i="4"/>
  <c r="BN120" i="4"/>
  <c r="BN117" i="4"/>
  <c r="BI124" i="4"/>
  <c r="BM130" i="4"/>
  <c r="BJ137" i="3"/>
  <c r="BI131" i="3"/>
  <c r="BN124" i="3"/>
  <c r="BI122" i="3"/>
  <c r="BL136" i="3"/>
  <c r="BK134" i="3"/>
  <c r="BL133" i="3"/>
  <c r="BO129" i="3"/>
  <c r="BO127" i="3"/>
  <c r="BK130" i="4"/>
  <c r="BK129" i="4"/>
  <c r="BK128" i="4"/>
  <c r="BO127" i="4"/>
  <c r="BK125" i="4"/>
  <c r="BO122" i="4"/>
  <c r="BL134" i="4"/>
  <c r="BL130" i="4"/>
  <c r="BI125" i="4"/>
  <c r="BL122" i="4"/>
  <c r="BN126" i="3"/>
  <c r="BJ123" i="3"/>
  <c r="BN120" i="3"/>
  <c r="BI138" i="3"/>
  <c r="BI120" i="4"/>
  <c r="BI134" i="3"/>
  <c r="BI129" i="3"/>
  <c r="BI127" i="3"/>
  <c r="BI123" i="3"/>
  <c r="BK138" i="4"/>
  <c r="BK115" i="4"/>
  <c r="BI138" i="4"/>
  <c r="BI130" i="4"/>
  <c r="BK136" i="4"/>
  <c r="BN131" i="3"/>
  <c r="BK121" i="4"/>
  <c r="BK138" i="3"/>
  <c r="BK121" i="3"/>
  <c r="BL118" i="3"/>
  <c r="BO117" i="3"/>
  <c r="BN125" i="4"/>
  <c r="BN118" i="4"/>
  <c r="BN130" i="4"/>
  <c r="BK122" i="3"/>
  <c r="BL120" i="4"/>
  <c r="BJ132" i="4"/>
  <c r="BN124" i="4"/>
  <c r="BN122" i="4"/>
  <c r="BI137" i="4"/>
  <c r="BI119" i="4"/>
  <c r="BN119" i="3"/>
  <c r="BK133" i="3"/>
  <c r="BK130" i="3"/>
  <c r="BL115" i="4"/>
  <c r="BO125" i="3"/>
  <c r="BI115" i="3"/>
  <c r="BK119" i="3"/>
  <c r="BL116" i="3"/>
  <c r="BN118" i="3"/>
  <c r="BI120" i="3"/>
  <c r="BL131" i="3"/>
  <c r="BJ116" i="4"/>
  <c r="BN138" i="4"/>
  <c r="BL121" i="4"/>
  <c r="BL118" i="4"/>
  <c r="BL117" i="4"/>
  <c r="BN136" i="4"/>
  <c r="BM136" i="4"/>
  <c r="BN126" i="4"/>
  <c r="BN116" i="4"/>
  <c r="BM123" i="4"/>
  <c r="BN134" i="3"/>
  <c r="BN130" i="3"/>
  <c r="BN128" i="3"/>
  <c r="BN127" i="3"/>
  <c r="BI125" i="3"/>
  <c r="BL132" i="3"/>
  <c r="BO130" i="3"/>
  <c r="BL128" i="3"/>
  <c r="BL125" i="3"/>
  <c r="BL124" i="3"/>
  <c r="BO137" i="4"/>
  <c r="BO136" i="4"/>
  <c r="BK135" i="4"/>
  <c r="BO134" i="4"/>
  <c r="BK132" i="4"/>
  <c r="BK131" i="4"/>
  <c r="BL135" i="4"/>
  <c r="BI132" i="4"/>
  <c r="BI126" i="4"/>
  <c r="BI123" i="4"/>
  <c r="BK132" i="3"/>
  <c r="BN129" i="3"/>
  <c r="BN121" i="3"/>
  <c r="BM136" i="3"/>
  <c r="BI133" i="3"/>
  <c r="BO133" i="4"/>
  <c r="BK124" i="4"/>
  <c r="BL129" i="4"/>
  <c r="BN125" i="3"/>
  <c r="AZ107" i="3"/>
  <c r="BB107" i="4"/>
  <c r="BB107" i="3"/>
  <c r="BC107" i="4"/>
  <c r="BA107" i="4"/>
  <c r="BA107" i="3"/>
  <c r="AZ107" i="4"/>
  <c r="BF107" i="3"/>
  <c r="BF107" i="4"/>
  <c r="BB9" i="4"/>
  <c r="BK9" i="4" s="1"/>
  <c r="BK114" i="4" s="1"/>
  <c r="BA8" i="4"/>
  <c r="BJ9" i="4"/>
  <c r="BJ114" i="4" s="1"/>
  <c r="BS9" i="3"/>
  <c r="BR9" i="3"/>
  <c r="BC9" i="3"/>
  <c r="BK9" i="3"/>
  <c r="BK114" i="3" s="1"/>
  <c r="CP4" i="5" s="1"/>
  <c r="CF9" i="3"/>
  <c r="BB8" i="3"/>
  <c r="BE107" i="3"/>
  <c r="BE107" i="4"/>
  <c r="BD107" i="3"/>
  <c r="BD107" i="4"/>
  <c r="BC107" i="3"/>
  <c r="AP139" i="4"/>
  <c r="AB8" i="5" s="1"/>
  <c r="AB9" i="5" s="1"/>
  <c r="E10" i="5" s="1"/>
  <c r="AP139" i="3"/>
  <c r="BG16" i="5" l="1"/>
  <c r="BH16" i="5"/>
  <c r="BD16" i="5"/>
  <c r="CC14" i="5"/>
  <c r="I19" i="6" s="1"/>
  <c r="K8" i="6" s="1"/>
  <c r="AY15" i="3"/>
  <c r="BH14" i="3"/>
  <c r="BQ14" i="3" s="1"/>
  <c r="AR119" i="3"/>
  <c r="AR28" i="3"/>
  <c r="AR29" i="3" s="1"/>
  <c r="AR30" i="3" s="1"/>
  <c r="AR31" i="3" s="1"/>
  <c r="AY17" i="4"/>
  <c r="BH16" i="4"/>
  <c r="BQ16" i="4" s="1"/>
  <c r="BQ15" i="4"/>
  <c r="BH116" i="4"/>
  <c r="AR24" i="4"/>
  <c r="AR25" i="4" s="1"/>
  <c r="AR26" i="4" s="1"/>
  <c r="AR27" i="4" s="1"/>
  <c r="AR118" i="4"/>
  <c r="BT9" i="4"/>
  <c r="CF9" i="4"/>
  <c r="BC9" i="4"/>
  <c r="BB8" i="4"/>
  <c r="BS9" i="4"/>
  <c r="AZ140" i="4"/>
  <c r="CG9" i="3"/>
  <c r="BC8" i="3"/>
  <c r="BL9" i="3"/>
  <c r="BL114" i="3" s="1"/>
  <c r="CQ4" i="5" s="1"/>
  <c r="BD9" i="3"/>
  <c r="BT9" i="3"/>
  <c r="AZ140" i="3"/>
  <c r="BA140" i="3"/>
  <c r="C80" i="6" l="1"/>
  <c r="D60" i="5"/>
  <c r="AY116" i="3"/>
  <c r="BH15" i="3"/>
  <c r="AY16" i="3"/>
  <c r="AR120" i="3"/>
  <c r="AR32" i="3"/>
  <c r="AR33" i="3" s="1"/>
  <c r="AR34" i="3" s="1"/>
  <c r="AR35" i="3" s="1"/>
  <c r="BQ116" i="4"/>
  <c r="AY18" i="4"/>
  <c r="BH17" i="4"/>
  <c r="BQ17" i="4" s="1"/>
  <c r="AR119" i="4"/>
  <c r="AR28" i="4"/>
  <c r="AR29" i="4" s="1"/>
  <c r="AR30" i="4" s="1"/>
  <c r="AR31" i="4" s="1"/>
  <c r="BA140" i="4"/>
  <c r="CG9" i="4"/>
  <c r="BL9" i="4"/>
  <c r="BL114" i="4" s="1"/>
  <c r="BC8" i="4"/>
  <c r="BD9" i="4"/>
  <c r="BU9" i="3"/>
  <c r="CH9" i="3"/>
  <c r="BM9" i="3"/>
  <c r="BM114" i="3" s="1"/>
  <c r="CR4" i="5" s="1"/>
  <c r="BD8" i="3"/>
  <c r="BE9" i="3"/>
  <c r="BB140" i="3"/>
  <c r="BH16" i="3" l="1"/>
  <c r="BQ16" i="3" s="1"/>
  <c r="AY17" i="3"/>
  <c r="BQ15" i="3"/>
  <c r="BH116" i="3"/>
  <c r="AR121" i="3"/>
  <c r="AR36" i="3"/>
  <c r="AR37" i="3" s="1"/>
  <c r="AR38" i="3" s="1"/>
  <c r="AR39" i="3" s="1"/>
  <c r="AR32" i="4"/>
  <c r="AR33" i="4" s="1"/>
  <c r="AR34" i="4" s="1"/>
  <c r="AR35" i="4" s="1"/>
  <c r="AR120" i="4"/>
  <c r="BH18" i="4"/>
  <c r="BQ18" i="4" s="1"/>
  <c r="AY19" i="4"/>
  <c r="BD8" i="4"/>
  <c r="BE9" i="4"/>
  <c r="CH9" i="4"/>
  <c r="BM9" i="4"/>
  <c r="BM114" i="4" s="1"/>
  <c r="BB140" i="4"/>
  <c r="BU9" i="4"/>
  <c r="CI9" i="3"/>
  <c r="BE8" i="3"/>
  <c r="BN9" i="3"/>
  <c r="BN114" i="3" s="1"/>
  <c r="CS4" i="5" s="1"/>
  <c r="BF9" i="3"/>
  <c r="C30" i="6"/>
  <c r="K30" i="6" s="1"/>
  <c r="BC140" i="3"/>
  <c r="BV9" i="3"/>
  <c r="C31" i="6"/>
  <c r="K31" i="6" s="1"/>
  <c r="C32" i="6"/>
  <c r="K32" i="6" s="1"/>
  <c r="BQ116" i="3" l="1"/>
  <c r="AY18" i="3"/>
  <c r="BH17" i="3"/>
  <c r="BQ17" i="3" s="1"/>
  <c r="AY117" i="4"/>
  <c r="BH19" i="4"/>
  <c r="AY20" i="4"/>
  <c r="AR40" i="3"/>
  <c r="AR41" i="3" s="1"/>
  <c r="AR42" i="3" s="1"/>
  <c r="AR43" i="3" s="1"/>
  <c r="AR122" i="3"/>
  <c r="AR121" i="4"/>
  <c r="AR36" i="4"/>
  <c r="AR37" i="4" s="1"/>
  <c r="AR38" i="4" s="1"/>
  <c r="AR39" i="4" s="1"/>
  <c r="BV9" i="4"/>
  <c r="BC140" i="4"/>
  <c r="BE8" i="4"/>
  <c r="BN9" i="4"/>
  <c r="BN114" i="4" s="1"/>
  <c r="BF9" i="4"/>
  <c r="CI9" i="4"/>
  <c r="AU136" i="4"/>
  <c r="AU137" i="3"/>
  <c r="AU133" i="3"/>
  <c r="AV132" i="3"/>
  <c r="AW132" i="3"/>
  <c r="AS134" i="3"/>
  <c r="AU134" i="3"/>
  <c r="AV132" i="4"/>
  <c r="AW119" i="4"/>
  <c r="AW131" i="3"/>
  <c r="AT120" i="4"/>
  <c r="AT119" i="3"/>
  <c r="AS131" i="3"/>
  <c r="AS133" i="3"/>
  <c r="AU129" i="4"/>
  <c r="AV130" i="4"/>
  <c r="AT124" i="4"/>
  <c r="AW120" i="4"/>
  <c r="AV128" i="4"/>
  <c r="AW137" i="3"/>
  <c r="AT116" i="3"/>
  <c r="AT136" i="4"/>
  <c r="AW135" i="3"/>
  <c r="AU138" i="3"/>
  <c r="AV118" i="4"/>
  <c r="AT117" i="4"/>
  <c r="AU119" i="3"/>
  <c r="AS119" i="4"/>
  <c r="AU128" i="4"/>
  <c r="AU134" i="4"/>
  <c r="AV122" i="3"/>
  <c r="AS123" i="3"/>
  <c r="AU130" i="3"/>
  <c r="AS115" i="3"/>
  <c r="AS138" i="4"/>
  <c r="AU130" i="4"/>
  <c r="AT126" i="3"/>
  <c r="AS133" i="4"/>
  <c r="AS127" i="3"/>
  <c r="AT123" i="3"/>
  <c r="AS137" i="3"/>
  <c r="AS116" i="4"/>
  <c r="AT124" i="3"/>
  <c r="AV138" i="3"/>
  <c r="AW127" i="4"/>
  <c r="AT115" i="3"/>
  <c r="AU131" i="3"/>
  <c r="AS126" i="4"/>
  <c r="AU135" i="3"/>
  <c r="AU120" i="3"/>
  <c r="AT118" i="3"/>
  <c r="AT135" i="3"/>
  <c r="AW118" i="4"/>
  <c r="AT129" i="3"/>
  <c r="AT130" i="3"/>
  <c r="AT116" i="4"/>
  <c r="AS117" i="4"/>
  <c r="AT126" i="4"/>
  <c r="AT119" i="4"/>
  <c r="AS132" i="3"/>
  <c r="AV138" i="4"/>
  <c r="AT132" i="3"/>
  <c r="AS118" i="3"/>
  <c r="AS115" i="4"/>
  <c r="AS120" i="3"/>
  <c r="AV133" i="3"/>
  <c r="AT128" i="3"/>
  <c r="AV116" i="4"/>
  <c r="AU117" i="3"/>
  <c r="AU132" i="4"/>
  <c r="AS135" i="4"/>
  <c r="AW130" i="4"/>
  <c r="AT131" i="3"/>
  <c r="AT127" i="3"/>
  <c r="AV126" i="4"/>
  <c r="AS132" i="4"/>
  <c r="AV136" i="3"/>
  <c r="AV125" i="4"/>
  <c r="AS126" i="3"/>
  <c r="CJ9" i="3"/>
  <c r="BO9" i="3"/>
  <c r="BO114" i="3" s="1"/>
  <c r="CT4" i="5" s="1"/>
  <c r="BF8" i="3"/>
  <c r="CU75" i="3" s="1"/>
  <c r="BD140" i="3"/>
  <c r="BW9" i="3"/>
  <c r="AW123" i="3"/>
  <c r="AV120" i="4"/>
  <c r="AS128" i="4"/>
  <c r="AS124" i="3"/>
  <c r="AT133" i="3"/>
  <c r="AW128" i="4"/>
  <c r="AT127" i="4"/>
  <c r="AW127" i="3"/>
  <c r="AU123" i="3"/>
  <c r="AT136" i="3"/>
  <c r="AS122" i="3"/>
  <c r="AV129" i="3"/>
  <c r="AV129" i="4"/>
  <c r="AT129" i="4"/>
  <c r="AS121" i="3"/>
  <c r="AW129" i="3"/>
  <c r="AU117" i="4"/>
  <c r="AW132" i="4"/>
  <c r="AW124" i="4"/>
  <c r="AW130" i="3"/>
  <c r="AW126" i="3"/>
  <c r="AS125" i="3"/>
  <c r="AT125" i="4"/>
  <c r="AT128" i="4"/>
  <c r="AU125" i="4"/>
  <c r="AV134" i="4"/>
  <c r="AW124" i="3"/>
  <c r="AU126" i="4"/>
  <c r="AS119" i="3"/>
  <c r="AS118" i="4"/>
  <c r="AW116" i="3"/>
  <c r="AS130" i="4"/>
  <c r="AU136" i="3"/>
  <c r="AW117" i="3"/>
  <c r="AS123" i="4"/>
  <c r="AT125" i="3"/>
  <c r="AV115" i="4"/>
  <c r="AU135" i="4"/>
  <c r="AT115" i="4"/>
  <c r="AU122" i="3"/>
  <c r="AU127" i="3"/>
  <c r="AU115" i="4"/>
  <c r="AS138" i="3"/>
  <c r="AW117" i="4"/>
  <c r="AT117" i="3"/>
  <c r="AS127" i="4"/>
  <c r="AU115" i="3"/>
  <c r="AW116" i="4"/>
  <c r="AW138" i="4"/>
  <c r="AT133" i="4"/>
  <c r="AV124" i="4"/>
  <c r="AV122" i="4"/>
  <c r="AV137" i="4"/>
  <c r="AV137" i="3"/>
  <c r="AT122" i="4"/>
  <c r="AT121" i="3"/>
  <c r="AT134" i="4"/>
  <c r="AV133" i="4"/>
  <c r="AW121" i="3"/>
  <c r="AS128" i="3"/>
  <c r="AS120" i="4"/>
  <c r="AT137" i="4"/>
  <c r="AV128" i="3"/>
  <c r="AS124" i="4"/>
  <c r="AU123" i="4"/>
  <c r="AT131" i="4"/>
  <c r="AV119" i="3"/>
  <c r="AT118" i="4"/>
  <c r="AV123" i="4"/>
  <c r="AU116" i="3"/>
  <c r="AW133" i="4"/>
  <c r="AV135" i="4"/>
  <c r="AV123" i="3"/>
  <c r="AV115" i="3"/>
  <c r="AU124" i="4"/>
  <c r="AV134" i="3"/>
  <c r="AW115" i="4"/>
  <c r="AT123" i="4"/>
  <c r="AV136" i="4"/>
  <c r="AU133" i="4"/>
  <c r="AT134" i="3"/>
  <c r="AV118" i="3"/>
  <c r="AS125" i="4"/>
  <c r="AU129" i="3"/>
  <c r="AV127" i="3"/>
  <c r="AU137" i="4"/>
  <c r="AU118" i="4"/>
  <c r="AV124" i="3"/>
  <c r="AW122" i="3"/>
  <c r="AV117" i="3"/>
  <c r="AS130" i="3"/>
  <c r="AW134" i="3"/>
  <c r="AT121" i="4"/>
  <c r="AW122" i="4"/>
  <c r="AV130" i="3"/>
  <c r="AU132" i="3"/>
  <c r="AS129" i="4"/>
  <c r="AU119" i="4"/>
  <c r="AS116" i="3"/>
  <c r="AU121" i="3"/>
  <c r="AS129" i="3"/>
  <c r="AU124" i="3"/>
  <c r="AW120" i="3"/>
  <c r="AV116" i="3"/>
  <c r="AV121" i="4"/>
  <c r="AW121" i="4"/>
  <c r="AT132" i="4"/>
  <c r="AU122" i="4"/>
  <c r="AS135" i="3"/>
  <c r="AU127" i="4"/>
  <c r="AW119" i="3"/>
  <c r="AT130" i="4"/>
  <c r="AS117" i="3"/>
  <c r="AU138" i="4"/>
  <c r="AV119" i="4"/>
  <c r="AS122" i="4"/>
  <c r="AV131" i="3"/>
  <c r="AS137" i="4"/>
  <c r="AW125" i="4"/>
  <c r="AV120" i="3"/>
  <c r="AW118" i="3"/>
  <c r="AT122" i="3"/>
  <c r="AW125" i="3"/>
  <c r="AV135" i="3"/>
  <c r="AS136" i="4"/>
  <c r="AV131" i="4"/>
  <c r="AU121" i="4"/>
  <c r="AT138" i="4"/>
  <c r="AU125" i="3"/>
  <c r="AW137" i="4"/>
  <c r="AU128" i="3"/>
  <c r="AW136" i="3"/>
  <c r="AS131" i="4"/>
  <c r="AV125" i="3"/>
  <c r="AU116" i="4"/>
  <c r="AT120" i="3"/>
  <c r="AW126" i="4"/>
  <c r="AV121" i="3"/>
  <c r="AV126" i="3"/>
  <c r="AT137" i="3"/>
  <c r="AW136" i="4"/>
  <c r="AW128" i="3"/>
  <c r="AT135" i="4"/>
  <c r="AW131" i="4"/>
  <c r="AW134" i="4"/>
  <c r="AU126" i="3"/>
  <c r="AW115" i="3"/>
  <c r="AW135" i="4"/>
  <c r="AU131" i="4"/>
  <c r="AU118" i="3"/>
  <c r="AS121" i="4"/>
  <c r="AW133" i="3"/>
  <c r="AV117" i="4"/>
  <c r="AW129" i="4"/>
  <c r="AS134" i="4"/>
  <c r="AT138" i="3"/>
  <c r="AS136" i="3"/>
  <c r="AV127" i="4"/>
  <c r="AW123" i="4"/>
  <c r="AU120" i="4"/>
  <c r="AW138" i="3"/>
  <c r="CU22" i="3" l="1"/>
  <c r="CU12" i="3"/>
  <c r="CU51" i="3"/>
  <c r="CU40" i="3"/>
  <c r="CU90" i="3"/>
  <c r="CU85" i="3"/>
  <c r="CU92" i="3"/>
  <c r="CU31" i="3"/>
  <c r="CU98" i="3"/>
  <c r="CU13" i="3"/>
  <c r="CU73" i="3"/>
  <c r="CU36" i="3"/>
  <c r="CU86" i="3"/>
  <c r="CU88" i="3"/>
  <c r="CU56" i="3"/>
  <c r="CU37" i="3"/>
  <c r="CU89" i="3"/>
  <c r="CU96" i="3"/>
  <c r="CU53" i="3"/>
  <c r="CU38" i="3"/>
  <c r="CU84" i="3"/>
  <c r="CU44" i="3"/>
  <c r="CU11" i="3"/>
  <c r="CU74" i="3"/>
  <c r="CU43" i="3"/>
  <c r="CU91" i="3"/>
  <c r="CU69" i="3"/>
  <c r="CU39" i="3"/>
  <c r="CU83" i="3"/>
  <c r="CU55" i="3"/>
  <c r="CU29" i="3"/>
  <c r="CU21" i="3"/>
  <c r="CU61" i="3"/>
  <c r="CU23" i="3"/>
  <c r="CU63" i="3"/>
  <c r="CU58" i="3"/>
  <c r="CU33" i="3"/>
  <c r="CU65" i="3"/>
  <c r="CU49" i="3"/>
  <c r="CU70" i="3"/>
  <c r="CU47" i="3"/>
  <c r="CU95" i="3"/>
  <c r="CU26" i="3"/>
  <c r="CU60" i="3"/>
  <c r="CU71" i="3"/>
  <c r="CU66" i="3"/>
  <c r="CU50" i="3"/>
  <c r="CU48" i="3"/>
  <c r="CU104" i="3"/>
  <c r="CU45" i="3"/>
  <c r="CU78" i="3"/>
  <c r="CU35" i="3"/>
  <c r="CU99" i="3"/>
  <c r="CU54" i="3"/>
  <c r="CU67" i="3"/>
  <c r="CU19" i="3"/>
  <c r="CU82" i="3"/>
  <c r="CU79" i="3"/>
  <c r="CU27" i="3"/>
  <c r="CU24" i="3"/>
  <c r="CU102" i="3"/>
  <c r="CU17" i="3"/>
  <c r="CU14" i="3"/>
  <c r="CU64" i="3"/>
  <c r="CU103" i="3"/>
  <c r="CU15" i="3"/>
  <c r="CU30" i="3"/>
  <c r="CU28" i="3"/>
  <c r="CU87" i="3"/>
  <c r="CU18" i="3"/>
  <c r="CU68" i="3"/>
  <c r="CU52" i="3"/>
  <c r="CU34" i="3"/>
  <c r="CU80" i="3"/>
  <c r="CU59" i="3"/>
  <c r="CU101" i="3"/>
  <c r="CU20" i="3"/>
  <c r="CU62" i="3"/>
  <c r="CU46" i="3"/>
  <c r="CU105" i="3"/>
  <c r="CU100" i="3"/>
  <c r="CU41" i="3"/>
  <c r="CU42" i="3"/>
  <c r="CU93" i="3"/>
  <c r="CU77" i="3"/>
  <c r="CU76" i="3"/>
  <c r="CU97" i="3"/>
  <c r="CU16" i="3"/>
  <c r="CU106" i="3"/>
  <c r="CU81" i="3"/>
  <c r="CU57" i="3"/>
  <c r="CU94" i="3"/>
  <c r="CU25" i="3"/>
  <c r="CU32" i="3"/>
  <c r="CU72" i="3"/>
  <c r="AY19" i="3"/>
  <c r="BH18" i="3"/>
  <c r="BQ18" i="3" s="1"/>
  <c r="BH20" i="4"/>
  <c r="BQ20" i="4" s="1"/>
  <c r="AY21" i="4"/>
  <c r="BH117" i="4"/>
  <c r="BQ19" i="4"/>
  <c r="AR123" i="3"/>
  <c r="AR44" i="3"/>
  <c r="AR45" i="3" s="1"/>
  <c r="AR46" i="3" s="1"/>
  <c r="AR47" i="3" s="1"/>
  <c r="AR40" i="4"/>
  <c r="AR41" i="4" s="1"/>
  <c r="AR42" i="4" s="1"/>
  <c r="AR43" i="4" s="1"/>
  <c r="AR122" i="4"/>
  <c r="BW9" i="4"/>
  <c r="CJ9" i="4"/>
  <c r="BO9" i="4"/>
  <c r="BO114" i="4" s="1"/>
  <c r="BF8" i="4"/>
  <c r="CU24" i="4" s="1"/>
  <c r="BD140" i="4"/>
  <c r="Q157" i="6"/>
  <c r="I142" i="6"/>
  <c r="I158" i="6"/>
  <c r="Q146" i="6"/>
  <c r="Q143" i="6"/>
  <c r="Q149" i="6"/>
  <c r="Q155" i="6"/>
  <c r="I159" i="6"/>
  <c r="Q153" i="6"/>
  <c r="M166" i="6"/>
  <c r="D166" i="6"/>
  <c r="I151" i="6"/>
  <c r="I164" i="6"/>
  <c r="BX9" i="3"/>
  <c r="I148" i="6"/>
  <c r="Q158" i="6"/>
  <c r="Q159" i="6"/>
  <c r="I157" i="6"/>
  <c r="Q151" i="6"/>
  <c r="Q160" i="6"/>
  <c r="Q145" i="6"/>
  <c r="E167" i="6"/>
  <c r="I154" i="6"/>
  <c r="Q144" i="6"/>
  <c r="I160" i="6"/>
  <c r="I150" i="6"/>
  <c r="I152" i="6"/>
  <c r="Q163" i="6"/>
  <c r="I149" i="6"/>
  <c r="Q154" i="6"/>
  <c r="BE140" i="3"/>
  <c r="I165" i="6"/>
  <c r="I156" i="6"/>
  <c r="L167" i="6"/>
  <c r="M167" i="6"/>
  <c r="Q147" i="6"/>
  <c r="P166" i="6"/>
  <c r="Q161" i="6"/>
  <c r="Q162" i="6"/>
  <c r="I155" i="6"/>
  <c r="N166" i="6"/>
  <c r="I153" i="6"/>
  <c r="O166" i="6"/>
  <c r="Q164" i="6"/>
  <c r="I145" i="6"/>
  <c r="G167" i="6"/>
  <c r="F167" i="6"/>
  <c r="I146" i="6"/>
  <c r="P167" i="6"/>
  <c r="Q165" i="6"/>
  <c r="H167" i="6"/>
  <c r="I144" i="6"/>
  <c r="I162" i="6"/>
  <c r="Q156" i="6"/>
  <c r="H166" i="6"/>
  <c r="G166" i="6"/>
  <c r="I163" i="6"/>
  <c r="E166" i="6"/>
  <c r="L166" i="6"/>
  <c r="I143" i="6"/>
  <c r="Q148" i="6"/>
  <c r="I147" i="6"/>
  <c r="I161" i="6"/>
  <c r="O167" i="6"/>
  <c r="Q142" i="6"/>
  <c r="N167" i="6"/>
  <c r="D167" i="6"/>
  <c r="F166" i="6"/>
  <c r="Q152" i="6"/>
  <c r="CU12" i="4" l="1"/>
  <c r="CU50" i="4"/>
  <c r="AL24" i="5"/>
  <c r="AL25" i="5" s="1"/>
  <c r="CU90" i="4"/>
  <c r="CU11" i="4"/>
  <c r="CU20" i="4"/>
  <c r="CU55" i="4"/>
  <c r="CU33" i="4"/>
  <c r="CU26" i="4"/>
  <c r="CU54" i="4"/>
  <c r="CU40" i="4"/>
  <c r="CU49" i="4"/>
  <c r="CU66" i="4"/>
  <c r="CU100" i="4"/>
  <c r="CU63" i="4"/>
  <c r="CU47" i="4"/>
  <c r="CU68" i="4"/>
  <c r="CU79" i="4"/>
  <c r="CU70" i="4"/>
  <c r="CU27" i="4"/>
  <c r="CU96" i="4"/>
  <c r="CU101" i="4"/>
  <c r="CU29" i="4"/>
  <c r="CU98" i="4"/>
  <c r="CU13" i="4"/>
  <c r="CU42" i="4"/>
  <c r="CU95" i="4"/>
  <c r="CU87" i="4"/>
  <c r="CU58" i="4"/>
  <c r="CU99" i="4"/>
  <c r="CU14" i="4"/>
  <c r="CU43" i="4"/>
  <c r="CU48" i="4"/>
  <c r="CU59" i="4"/>
  <c r="CU92" i="4"/>
  <c r="CU103" i="4"/>
  <c r="CU18" i="4"/>
  <c r="CU31" i="4"/>
  <c r="CU84" i="4"/>
  <c r="CU15" i="4"/>
  <c r="CU69" i="4"/>
  <c r="CU82" i="4"/>
  <c r="CU105" i="4"/>
  <c r="CU36" i="4"/>
  <c r="CU104" i="4"/>
  <c r="CU62" i="4"/>
  <c r="CU46" i="4"/>
  <c r="CU56" i="4"/>
  <c r="CU52" i="4"/>
  <c r="CU53" i="4"/>
  <c r="CU93" i="4"/>
  <c r="CU85" i="4"/>
  <c r="CU57" i="4"/>
  <c r="CU38" i="4"/>
  <c r="CU39" i="4"/>
  <c r="CU78" i="4"/>
  <c r="CU97" i="4"/>
  <c r="CU41" i="4"/>
  <c r="CU94" i="4"/>
  <c r="CU88" i="4"/>
  <c r="CU67" i="4"/>
  <c r="CU51" i="4"/>
  <c r="CU80" i="4"/>
  <c r="CU89" i="4"/>
  <c r="CU83" i="4"/>
  <c r="CU16" i="4"/>
  <c r="CU73" i="4"/>
  <c r="CU64" i="4"/>
  <c r="CU23" i="4"/>
  <c r="CU28" i="4"/>
  <c r="CU86" i="4"/>
  <c r="CU44" i="4"/>
  <c r="CU71" i="4"/>
  <c r="CU74" i="4"/>
  <c r="CU60" i="4"/>
  <c r="CU37" i="4"/>
  <c r="CU45" i="4"/>
  <c r="CU21" i="4"/>
  <c r="CU65" i="4"/>
  <c r="CU81" i="4"/>
  <c r="CU30" i="4"/>
  <c r="CU72" i="4"/>
  <c r="CU91" i="4"/>
  <c r="CU75" i="4"/>
  <c r="CU61" i="4"/>
  <c r="CU22" i="4"/>
  <c r="CU35" i="4"/>
  <c r="CU77" i="4"/>
  <c r="CU106" i="4"/>
  <c r="CU25" i="4"/>
  <c r="CU19" i="4"/>
  <c r="CU102" i="4"/>
  <c r="CU17" i="4"/>
  <c r="CU76" i="4"/>
  <c r="CU32" i="4"/>
  <c r="AL28" i="5"/>
  <c r="AL29" i="5" s="1"/>
  <c r="CU34" i="4"/>
  <c r="BH19" i="3"/>
  <c r="AY117" i="3"/>
  <c r="AY20" i="3"/>
  <c r="AY22" i="4"/>
  <c r="BH21" i="4"/>
  <c r="BQ21" i="4" s="1"/>
  <c r="BQ117" i="4"/>
  <c r="AR48" i="3"/>
  <c r="AR49" i="3" s="1"/>
  <c r="AR50" i="3" s="1"/>
  <c r="AR51" i="3" s="1"/>
  <c r="AR124" i="3"/>
  <c r="AR123" i="4"/>
  <c r="AR44" i="4"/>
  <c r="AR45" i="4" s="1"/>
  <c r="AR46" i="4" s="1"/>
  <c r="AR47" i="4" s="1"/>
  <c r="BX9" i="4"/>
  <c r="BE140" i="4"/>
  <c r="BF140" i="3"/>
  <c r="Q166" i="6"/>
  <c r="I167" i="6"/>
  <c r="F168" i="6" s="1"/>
  <c r="I166" i="6"/>
  <c r="Q167" i="6"/>
  <c r="L168" i="6" s="1"/>
  <c r="AL30" i="5" l="1"/>
  <c r="I41" i="6" s="1"/>
  <c r="AL26" i="5"/>
  <c r="I40" i="6" s="1"/>
  <c r="AM28" i="5"/>
  <c r="AM29" i="5" s="1"/>
  <c r="AM24" i="5"/>
  <c r="AM25" i="5" s="1"/>
  <c r="AY21" i="3"/>
  <c r="BH20" i="3"/>
  <c r="BQ20" i="3" s="1"/>
  <c r="BQ19" i="3"/>
  <c r="BH117" i="3"/>
  <c r="AR52" i="3"/>
  <c r="AR53" i="3" s="1"/>
  <c r="AR54" i="3" s="1"/>
  <c r="AR55" i="3" s="1"/>
  <c r="AR125" i="3"/>
  <c r="AR124" i="4"/>
  <c r="AR48" i="4"/>
  <c r="AR49" i="4" s="1"/>
  <c r="AR50" i="4" s="1"/>
  <c r="AR51" i="4" s="1"/>
  <c r="AY23" i="4"/>
  <c r="BH22" i="4"/>
  <c r="BQ22" i="4" s="1"/>
  <c r="BF140" i="4"/>
  <c r="G168" i="6"/>
  <c r="D168" i="6"/>
  <c r="E168" i="6"/>
  <c r="H168" i="6"/>
  <c r="P168" i="6"/>
  <c r="N168" i="6"/>
  <c r="M168" i="6"/>
  <c r="O168" i="6"/>
  <c r="AM30" i="5" l="1"/>
  <c r="Q41" i="6" s="1"/>
  <c r="AM26" i="5"/>
  <c r="Q40" i="6" s="1"/>
  <c r="BQ117" i="3"/>
  <c r="BH21" i="3"/>
  <c r="BQ21" i="3" s="1"/>
  <c r="AY22" i="3"/>
  <c r="AY118" i="4"/>
  <c r="AY24" i="4"/>
  <c r="BH23" i="4"/>
  <c r="AR126" i="3"/>
  <c r="AR56" i="3"/>
  <c r="AR57" i="3" s="1"/>
  <c r="AR58" i="3" s="1"/>
  <c r="AR59" i="3" s="1"/>
  <c r="AR125" i="4"/>
  <c r="AR52" i="4"/>
  <c r="AR53" i="4" s="1"/>
  <c r="AR54" i="4" s="1"/>
  <c r="AR55" i="4" s="1"/>
  <c r="AY23" i="3" l="1"/>
  <c r="BH22" i="3"/>
  <c r="BQ22" i="3" s="1"/>
  <c r="AR56" i="4"/>
  <c r="AR57" i="4" s="1"/>
  <c r="AR58" i="4" s="1"/>
  <c r="AR59" i="4" s="1"/>
  <c r="AR126" i="4"/>
  <c r="BH118" i="4"/>
  <c r="BQ23" i="4"/>
  <c r="BH24" i="4"/>
  <c r="BQ24" i="4" s="1"/>
  <c r="AY25" i="4"/>
  <c r="AR127" i="3"/>
  <c r="AR60" i="3"/>
  <c r="AR61" i="3" s="1"/>
  <c r="AR62" i="3" s="1"/>
  <c r="AR63" i="3" s="1"/>
  <c r="BH23" i="3" l="1"/>
  <c r="AY118" i="3"/>
  <c r="AY24" i="3"/>
  <c r="AR64" i="3"/>
  <c r="AR65" i="3" s="1"/>
  <c r="AR66" i="3" s="1"/>
  <c r="AR67" i="3" s="1"/>
  <c r="AR128" i="3"/>
  <c r="AR127" i="4"/>
  <c r="AR60" i="4"/>
  <c r="AR61" i="4" s="1"/>
  <c r="AR62" i="4" s="1"/>
  <c r="AR63" i="4" s="1"/>
  <c r="AY26" i="4"/>
  <c r="BH25" i="4"/>
  <c r="BQ25" i="4" s="1"/>
  <c r="BQ118" i="4"/>
  <c r="AY25" i="3" l="1"/>
  <c r="BH24" i="3"/>
  <c r="BQ24" i="3" s="1"/>
  <c r="BQ23" i="3"/>
  <c r="BH118" i="3"/>
  <c r="AR128" i="4"/>
  <c r="AR64" i="4"/>
  <c r="AR65" i="4" s="1"/>
  <c r="AR66" i="4" s="1"/>
  <c r="AR67" i="4" s="1"/>
  <c r="BH26" i="4"/>
  <c r="BQ26" i="4" s="1"/>
  <c r="AY27" i="4"/>
  <c r="AR129" i="3"/>
  <c r="AR68" i="3"/>
  <c r="AR69" i="3" s="1"/>
  <c r="AR70" i="3" s="1"/>
  <c r="AR71" i="3" s="1"/>
  <c r="BQ118" i="3" l="1"/>
  <c r="AY26" i="3"/>
  <c r="BH25" i="3"/>
  <c r="BQ25" i="3" s="1"/>
  <c r="AY28" i="4"/>
  <c r="BH27" i="4"/>
  <c r="AY119" i="4"/>
  <c r="AR72" i="3"/>
  <c r="AR73" i="3" s="1"/>
  <c r="AR74" i="3" s="1"/>
  <c r="AR75" i="3" s="1"/>
  <c r="AR130" i="3"/>
  <c r="AR129" i="4"/>
  <c r="AR68" i="4"/>
  <c r="AR69" i="4" s="1"/>
  <c r="AR70" i="4" s="1"/>
  <c r="AR71" i="4" s="1"/>
  <c r="AY27" i="3" l="1"/>
  <c r="BH26" i="3"/>
  <c r="BQ26" i="3" s="1"/>
  <c r="AR72" i="4"/>
  <c r="AR73" i="4" s="1"/>
  <c r="AR74" i="4" s="1"/>
  <c r="AR75" i="4" s="1"/>
  <c r="AR130" i="4"/>
  <c r="BH119" i="4"/>
  <c r="BQ27" i="4"/>
  <c r="AR76" i="3"/>
  <c r="AR77" i="3" s="1"/>
  <c r="AR78" i="3" s="1"/>
  <c r="AR79" i="3" s="1"/>
  <c r="AR131" i="3"/>
  <c r="BH28" i="4"/>
  <c r="BQ28" i="4" s="1"/>
  <c r="AY29" i="4"/>
  <c r="AY119" i="3" l="1"/>
  <c r="AY28" i="3"/>
  <c r="BH27" i="3"/>
  <c r="BQ119" i="4"/>
  <c r="AY30" i="4"/>
  <c r="BH29" i="4"/>
  <c r="BQ29" i="4" s="1"/>
  <c r="AR132" i="3"/>
  <c r="AR80" i="3"/>
  <c r="AR81" i="3" s="1"/>
  <c r="AR82" i="3" s="1"/>
  <c r="AR83" i="3" s="1"/>
  <c r="AR131" i="4"/>
  <c r="AR76" i="4"/>
  <c r="AR77" i="4" s="1"/>
  <c r="AR78" i="4" s="1"/>
  <c r="AR79" i="4" s="1"/>
  <c r="BQ27" i="3" l="1"/>
  <c r="BH119" i="3"/>
  <c r="BH28" i="3"/>
  <c r="BQ28" i="3" s="1"/>
  <c r="AY29" i="3"/>
  <c r="AY31" i="4"/>
  <c r="BH30" i="4"/>
  <c r="BQ30" i="4" s="1"/>
  <c r="AR80" i="4"/>
  <c r="AR81" i="4" s="1"/>
  <c r="AR82" i="4" s="1"/>
  <c r="AR83" i="4" s="1"/>
  <c r="AR132" i="4"/>
  <c r="AR84" i="3"/>
  <c r="AR85" i="3" s="1"/>
  <c r="AR86" i="3" s="1"/>
  <c r="AR87" i="3" s="1"/>
  <c r="AR133" i="3"/>
  <c r="BQ119" i="3" l="1"/>
  <c r="BH29" i="3"/>
  <c r="BQ29" i="3" s="1"/>
  <c r="AY30" i="3"/>
  <c r="AR88" i="3"/>
  <c r="AR89" i="3" s="1"/>
  <c r="AR90" i="3" s="1"/>
  <c r="AR91" i="3" s="1"/>
  <c r="AR134" i="3"/>
  <c r="AR84" i="4"/>
  <c r="AR85" i="4" s="1"/>
  <c r="AR86" i="4" s="1"/>
  <c r="AR87" i="4" s="1"/>
  <c r="AR133" i="4"/>
  <c r="AY120" i="4"/>
  <c r="AY32" i="4"/>
  <c r="BH31" i="4"/>
  <c r="BH30" i="3" l="1"/>
  <c r="BQ30" i="3" s="1"/>
  <c r="AY31" i="3"/>
  <c r="BQ31" i="4"/>
  <c r="BH120" i="4"/>
  <c r="AR135" i="3"/>
  <c r="AR92" i="3"/>
  <c r="AR93" i="3" s="1"/>
  <c r="AR94" i="3" s="1"/>
  <c r="AR95" i="3" s="1"/>
  <c r="AR88" i="4"/>
  <c r="AR89" i="4" s="1"/>
  <c r="AR90" i="4" s="1"/>
  <c r="AR91" i="4" s="1"/>
  <c r="AR134" i="4"/>
  <c r="AY33" i="4"/>
  <c r="BH32" i="4"/>
  <c r="BQ32" i="4" s="1"/>
  <c r="AY32" i="3" l="1"/>
  <c r="AY120" i="3"/>
  <c r="BH31" i="3"/>
  <c r="AR136" i="3"/>
  <c r="AR96" i="3"/>
  <c r="AR97" i="3" s="1"/>
  <c r="AR98" i="3" s="1"/>
  <c r="AR99" i="3" s="1"/>
  <c r="AR135" i="4"/>
  <c r="AR92" i="4"/>
  <c r="AR93" i="4" s="1"/>
  <c r="AR94" i="4" s="1"/>
  <c r="AR95" i="4" s="1"/>
  <c r="BQ120" i="4"/>
  <c r="BH33" i="4"/>
  <c r="BQ33" i="4" s="1"/>
  <c r="AY34" i="4"/>
  <c r="BH120" i="3" l="1"/>
  <c r="BQ31" i="3"/>
  <c r="AY33" i="3"/>
  <c r="BH32" i="3"/>
  <c r="BQ32" i="3" s="1"/>
  <c r="BH34" i="4"/>
  <c r="BQ34" i="4" s="1"/>
  <c r="AY35" i="4"/>
  <c r="AR100" i="3"/>
  <c r="AR101" i="3" s="1"/>
  <c r="AR102" i="3" s="1"/>
  <c r="AR103" i="3" s="1"/>
  <c r="AR137" i="3"/>
  <c r="AR136" i="4"/>
  <c r="AR96" i="4"/>
  <c r="AR97" i="4" s="1"/>
  <c r="AR98" i="4" s="1"/>
  <c r="AR99" i="4" s="1"/>
  <c r="BQ120" i="3" l="1"/>
  <c r="BH33" i="3"/>
  <c r="BQ33" i="3" s="1"/>
  <c r="AY34" i="3"/>
  <c r="AR100" i="4"/>
  <c r="AR101" i="4" s="1"/>
  <c r="AR102" i="4" s="1"/>
  <c r="AR103" i="4" s="1"/>
  <c r="AR137" i="4"/>
  <c r="AY36" i="4"/>
  <c r="BH35" i="4"/>
  <c r="AY121" i="4"/>
  <c r="AR104" i="3"/>
  <c r="AR105" i="3" s="1"/>
  <c r="AR106" i="3" s="1"/>
  <c r="AR138" i="3"/>
  <c r="BH34" i="3" l="1"/>
  <c r="BQ34" i="3" s="1"/>
  <c r="AY35" i="3"/>
  <c r="BH121" i="4"/>
  <c r="BQ35" i="4"/>
  <c r="BH36" i="4"/>
  <c r="BQ36" i="4" s="1"/>
  <c r="AY37" i="4"/>
  <c r="AR104" i="4"/>
  <c r="AR105" i="4" s="1"/>
  <c r="AR106" i="4" s="1"/>
  <c r="AR138" i="4"/>
  <c r="BH35" i="3" l="1"/>
  <c r="AY36" i="3"/>
  <c r="AY121" i="3"/>
  <c r="BQ121" i="4"/>
  <c r="AY38" i="4"/>
  <c r="BH37" i="4"/>
  <c r="BQ37" i="4" s="1"/>
  <c r="AY37" i="3" l="1"/>
  <c r="BH36" i="3"/>
  <c r="BQ36" i="3" s="1"/>
  <c r="BH121" i="3"/>
  <c r="BQ35" i="3"/>
  <c r="AY39" i="4"/>
  <c r="BH38" i="4"/>
  <c r="BQ38" i="4" s="1"/>
  <c r="BQ121" i="3" l="1"/>
  <c r="BH37" i="3"/>
  <c r="BQ37" i="3" s="1"/>
  <c r="AY38" i="3"/>
  <c r="AY40" i="4"/>
  <c r="BH39" i="4"/>
  <c r="AY122" i="4"/>
  <c r="AY39" i="3" l="1"/>
  <c r="BH38" i="3"/>
  <c r="BQ38" i="3" s="1"/>
  <c r="BQ39" i="4"/>
  <c r="BH122" i="4"/>
  <c r="AY41" i="4"/>
  <c r="BH40" i="4"/>
  <c r="BQ40" i="4" s="1"/>
  <c r="AY40" i="3" l="1"/>
  <c r="AY122" i="3"/>
  <c r="BH39" i="3"/>
  <c r="BH41" i="4"/>
  <c r="BQ41" i="4" s="1"/>
  <c r="AY42" i="4"/>
  <c r="BQ122" i="4"/>
  <c r="BH122" i="3" l="1"/>
  <c r="BQ39" i="3"/>
  <c r="AY41" i="3"/>
  <c r="BH40" i="3"/>
  <c r="BQ40" i="3" s="1"/>
  <c r="BH42" i="4"/>
  <c r="BQ42" i="4" s="1"/>
  <c r="AY43" i="4"/>
  <c r="BQ122" i="3" l="1"/>
  <c r="BH41" i="3"/>
  <c r="BQ41" i="3" s="1"/>
  <c r="AY42" i="3"/>
  <c r="BH43" i="4"/>
  <c r="AY123" i="4"/>
  <c r="AY44" i="4"/>
  <c r="BH42" i="3" l="1"/>
  <c r="BQ42" i="3" s="1"/>
  <c r="AY43" i="3"/>
  <c r="BH123" i="4"/>
  <c r="BQ43" i="4"/>
  <c r="BH44" i="4"/>
  <c r="BQ44" i="4" s="1"/>
  <c r="AY45" i="4"/>
  <c r="AY44" i="3" l="1"/>
  <c r="BH43" i="3"/>
  <c r="AY123" i="3"/>
  <c r="AY46" i="4"/>
  <c r="BH45" i="4"/>
  <c r="BQ45" i="4" s="1"/>
  <c r="BQ123" i="4"/>
  <c r="BQ43" i="3" l="1"/>
  <c r="BH123" i="3"/>
  <c r="AY45" i="3"/>
  <c r="BH44" i="3"/>
  <c r="BQ44" i="3" s="1"/>
  <c r="AY47" i="4"/>
  <c r="BH46" i="4"/>
  <c r="BQ46" i="4" s="1"/>
  <c r="BQ123" i="3" l="1"/>
  <c r="BH45" i="3"/>
  <c r="BQ45" i="3" s="1"/>
  <c r="AY46" i="3"/>
  <c r="AY124" i="4"/>
  <c r="AY48" i="4"/>
  <c r="BH47" i="4"/>
  <c r="BH46" i="3" l="1"/>
  <c r="BQ46" i="3" s="1"/>
  <c r="AY47" i="3"/>
  <c r="BH124" i="4"/>
  <c r="BQ47" i="4"/>
  <c r="AY49" i="4"/>
  <c r="BH48" i="4"/>
  <c r="BQ48" i="4" s="1"/>
  <c r="AY124" i="3" l="1"/>
  <c r="BH47" i="3"/>
  <c r="AY48" i="3"/>
  <c r="BH49" i="4"/>
  <c r="BQ49" i="4" s="1"/>
  <c r="AY50" i="4"/>
  <c r="BQ124" i="4"/>
  <c r="AY49" i="3" l="1"/>
  <c r="BH48" i="3"/>
  <c r="BQ48" i="3" s="1"/>
  <c r="BH124" i="3"/>
  <c r="BQ47" i="3"/>
  <c r="BH50" i="4"/>
  <c r="BQ50" i="4" s="1"/>
  <c r="AY51" i="4"/>
  <c r="BQ124" i="3" l="1"/>
  <c r="BH49" i="3"/>
  <c r="BQ49" i="3" s="1"/>
  <c r="AY50" i="3"/>
  <c r="AY52" i="4"/>
  <c r="BH51" i="4"/>
  <c r="AY125" i="4"/>
  <c r="BH50" i="3" l="1"/>
  <c r="BQ50" i="3" s="1"/>
  <c r="AY51" i="3"/>
  <c r="BH52" i="4"/>
  <c r="BQ52" i="4" s="1"/>
  <c r="AY53" i="4"/>
  <c r="BH125" i="4"/>
  <c r="BQ51" i="4"/>
  <c r="AY125" i="3" l="1"/>
  <c r="AY52" i="3"/>
  <c r="BH51" i="3"/>
  <c r="BQ125" i="4"/>
  <c r="AY54" i="4"/>
  <c r="BH53" i="4"/>
  <c r="BQ53" i="4" s="1"/>
  <c r="BQ51" i="3" l="1"/>
  <c r="BH125" i="3"/>
  <c r="BH52" i="3"/>
  <c r="BQ52" i="3" s="1"/>
  <c r="AY53" i="3"/>
  <c r="AY55" i="4"/>
  <c r="BH54" i="4"/>
  <c r="BQ54" i="4" s="1"/>
  <c r="BQ125" i="3" l="1"/>
  <c r="AY54" i="3"/>
  <c r="BH53" i="3"/>
  <c r="BQ53" i="3" s="1"/>
  <c r="BH55" i="4"/>
  <c r="AY126" i="4"/>
  <c r="AY56" i="4"/>
  <c r="BH54" i="3" l="1"/>
  <c r="BQ54" i="3" s="1"/>
  <c r="AY55" i="3"/>
  <c r="BH56" i="4"/>
  <c r="BQ56" i="4" s="1"/>
  <c r="AY57" i="4"/>
  <c r="BQ55" i="4"/>
  <c r="BH126" i="4"/>
  <c r="AY126" i="3" l="1"/>
  <c r="AY56" i="3"/>
  <c r="BH55" i="3"/>
  <c r="BQ126" i="4"/>
  <c r="BH57" i="4"/>
  <c r="BQ57" i="4" s="1"/>
  <c r="AY58" i="4"/>
  <c r="BH126" i="3" l="1"/>
  <c r="BQ55" i="3"/>
  <c r="AY57" i="3"/>
  <c r="BH56" i="3"/>
  <c r="BQ56" i="3" s="1"/>
  <c r="BH58" i="4"/>
  <c r="BQ58" i="4" s="1"/>
  <c r="AY59" i="4"/>
  <c r="BQ126" i="3" l="1"/>
  <c r="AY58" i="3"/>
  <c r="BH57" i="3"/>
  <c r="BQ57" i="3" s="1"/>
  <c r="BH59" i="4"/>
  <c r="AY127" i="4"/>
  <c r="AY60" i="4"/>
  <c r="AY59" i="3" l="1"/>
  <c r="BH58" i="3"/>
  <c r="BQ58" i="3" s="1"/>
  <c r="BH127" i="4"/>
  <c r="BQ59" i="4"/>
  <c r="BH60" i="4"/>
  <c r="BQ60" i="4" s="1"/>
  <c r="AY61" i="4"/>
  <c r="AY60" i="3" l="1"/>
  <c r="BH59" i="3"/>
  <c r="AY127" i="3"/>
  <c r="BQ127" i="4"/>
  <c r="AY62" i="4"/>
  <c r="BH61" i="4"/>
  <c r="BQ61" i="4" s="1"/>
  <c r="BH127" i="3" l="1"/>
  <c r="BQ59" i="3"/>
  <c r="BH60" i="3"/>
  <c r="BQ60" i="3" s="1"/>
  <c r="AY61" i="3"/>
  <c r="BH62" i="4"/>
  <c r="BQ62" i="4" s="1"/>
  <c r="AY63" i="4"/>
  <c r="BQ127" i="3" l="1"/>
  <c r="BH61" i="3"/>
  <c r="BQ61" i="3" s="1"/>
  <c r="AY62" i="3"/>
  <c r="AY128" i="4"/>
  <c r="BH63" i="4"/>
  <c r="AY64" i="4"/>
  <c r="BH62" i="3" l="1"/>
  <c r="BQ62" i="3" s="1"/>
  <c r="AY63" i="3"/>
  <c r="BH64" i="4"/>
  <c r="BQ64" i="4" s="1"/>
  <c r="AY65" i="4"/>
  <c r="BQ63" i="4"/>
  <c r="BH128" i="4"/>
  <c r="AY128" i="3" l="1"/>
  <c r="BH63" i="3"/>
  <c r="AY64" i="3"/>
  <c r="BQ128" i="4"/>
  <c r="BH65" i="4"/>
  <c r="BQ65" i="4" s="1"/>
  <c r="AY66" i="4"/>
  <c r="AY65" i="3" l="1"/>
  <c r="BH64" i="3"/>
  <c r="BQ64" i="3" s="1"/>
  <c r="BQ63" i="3"/>
  <c r="BH128" i="3"/>
  <c r="BH66" i="4"/>
  <c r="BQ66" i="4" s="1"/>
  <c r="AY67" i="4"/>
  <c r="BQ128" i="3" l="1"/>
  <c r="AY66" i="3"/>
  <c r="BH65" i="3"/>
  <c r="BQ65" i="3" s="1"/>
  <c r="BH67" i="4"/>
  <c r="AY129" i="4"/>
  <c r="AY68" i="4"/>
  <c r="BH66" i="3" l="1"/>
  <c r="BQ66" i="3" s="1"/>
  <c r="AY67" i="3"/>
  <c r="BH129" i="4"/>
  <c r="BQ67" i="4"/>
  <c r="AY69" i="4"/>
  <c r="BH68" i="4"/>
  <c r="BQ68" i="4" s="1"/>
  <c r="AY68" i="3" l="1"/>
  <c r="BH67" i="3"/>
  <c r="AY129" i="3"/>
  <c r="AY70" i="4"/>
  <c r="BH69" i="4"/>
  <c r="BQ69" i="4" s="1"/>
  <c r="BQ129" i="4"/>
  <c r="BQ67" i="3" l="1"/>
  <c r="BH129" i="3"/>
  <c r="BH68" i="3"/>
  <c r="BQ68" i="3" s="1"/>
  <c r="AY69" i="3"/>
  <c r="AY71" i="4"/>
  <c r="BH70" i="4"/>
  <c r="BQ70" i="4" s="1"/>
  <c r="BQ129" i="3" l="1"/>
  <c r="BH69" i="3"/>
  <c r="BQ69" i="3" s="1"/>
  <c r="AY70" i="3"/>
  <c r="BH71" i="4"/>
  <c r="AY130" i="4"/>
  <c r="AY72" i="4"/>
  <c r="BH70" i="3" l="1"/>
  <c r="BQ70" i="3" s="1"/>
  <c r="AY71" i="3"/>
  <c r="AY73" i="4"/>
  <c r="BH72" i="4"/>
  <c r="BQ72" i="4" s="1"/>
  <c r="BQ71" i="4"/>
  <c r="BH130" i="4"/>
  <c r="AY130" i="3" l="1"/>
  <c r="BH71" i="3"/>
  <c r="AY72" i="3"/>
  <c r="BQ130" i="4"/>
  <c r="AY74" i="4"/>
  <c r="BH73" i="4"/>
  <c r="BQ73" i="4" s="1"/>
  <c r="BH72" i="3" l="1"/>
  <c r="BQ72" i="3" s="1"/>
  <c r="AY73" i="3"/>
  <c r="BQ71" i="3"/>
  <c r="BH130" i="3"/>
  <c r="BH74" i="4"/>
  <c r="BQ74" i="4" s="1"/>
  <c r="AY75" i="4"/>
  <c r="BQ130" i="3" l="1"/>
  <c r="AY74" i="3"/>
  <c r="BH73" i="3"/>
  <c r="BQ73" i="3" s="1"/>
  <c r="AY76" i="4"/>
  <c r="BH75" i="4"/>
  <c r="AY131" i="4"/>
  <c r="BH74" i="3" l="1"/>
  <c r="BQ74" i="3" s="1"/>
  <c r="AY75" i="3"/>
  <c r="BH76" i="4"/>
  <c r="BQ76" i="4" s="1"/>
  <c r="AY77" i="4"/>
  <c r="BQ75" i="4"/>
  <c r="BH131" i="4"/>
  <c r="BH75" i="3" l="1"/>
  <c r="AY76" i="3"/>
  <c r="AY131" i="3"/>
  <c r="BH77" i="4"/>
  <c r="BQ77" i="4" s="1"/>
  <c r="AY78" i="4"/>
  <c r="BQ131" i="4"/>
  <c r="AY77" i="3" l="1"/>
  <c r="BH76" i="3"/>
  <c r="BQ76" i="3" s="1"/>
  <c r="BQ75" i="3"/>
  <c r="BH131" i="3"/>
  <c r="BH78" i="4"/>
  <c r="BQ78" i="4" s="1"/>
  <c r="AY79" i="4"/>
  <c r="BQ131" i="3" l="1"/>
  <c r="BH77" i="3"/>
  <c r="BQ77" i="3" s="1"/>
  <c r="AY78" i="3"/>
  <c r="BH79" i="4"/>
  <c r="AY80" i="4"/>
  <c r="AY132" i="4"/>
  <c r="BH78" i="3" l="1"/>
  <c r="BQ78" i="3" s="1"/>
  <c r="AY79" i="3"/>
  <c r="BH80" i="4"/>
  <c r="BQ80" i="4" s="1"/>
  <c r="AY81" i="4"/>
  <c r="BQ79" i="4"/>
  <c r="BH132" i="4"/>
  <c r="AY132" i="3" l="1"/>
  <c r="AY80" i="3"/>
  <c r="BH79" i="3"/>
  <c r="BQ132" i="4"/>
  <c r="BH81" i="4"/>
  <c r="BQ81" i="4" s="1"/>
  <c r="AY82" i="4"/>
  <c r="BH132" i="3" l="1"/>
  <c r="BQ79" i="3"/>
  <c r="AY81" i="3"/>
  <c r="BH80" i="3"/>
  <c r="BQ80" i="3" s="1"/>
  <c r="BH82" i="4"/>
  <c r="BQ82" i="4" s="1"/>
  <c r="AY83" i="4"/>
  <c r="BQ132" i="3" l="1"/>
  <c r="BH81" i="3"/>
  <c r="BQ81" i="3" s="1"/>
  <c r="AY82" i="3"/>
  <c r="AY84" i="4"/>
  <c r="AY133" i="4"/>
  <c r="BH83" i="4"/>
  <c r="BH82" i="3" l="1"/>
  <c r="BQ82" i="3" s="1"/>
  <c r="AY83" i="3"/>
  <c r="BH133" i="4"/>
  <c r="BQ83" i="4"/>
  <c r="BH84" i="4"/>
  <c r="BQ84" i="4" s="1"/>
  <c r="AY85" i="4"/>
  <c r="AY133" i="3" l="1"/>
  <c r="AY84" i="3"/>
  <c r="BH83" i="3"/>
  <c r="BQ133" i="4"/>
  <c r="AY86" i="4"/>
  <c r="BH85" i="4"/>
  <c r="BQ85" i="4" s="1"/>
  <c r="BH133" i="3" l="1"/>
  <c r="BQ83" i="3"/>
  <c r="BH84" i="3"/>
  <c r="BQ84" i="3" s="1"/>
  <c r="AY85" i="3"/>
  <c r="AY87" i="4"/>
  <c r="BH86" i="4"/>
  <c r="BQ86" i="4" s="1"/>
  <c r="BQ133" i="3" l="1"/>
  <c r="AY86" i="3"/>
  <c r="BH85" i="3"/>
  <c r="BQ85" i="3" s="1"/>
  <c r="AY134" i="4"/>
  <c r="BH87" i="4"/>
  <c r="AY88" i="4"/>
  <c r="BH86" i="3" l="1"/>
  <c r="BQ86" i="3" s="1"/>
  <c r="AY87" i="3"/>
  <c r="BQ87" i="4"/>
  <c r="BH134" i="4"/>
  <c r="AY89" i="4"/>
  <c r="BH88" i="4"/>
  <c r="BQ88" i="4" s="1"/>
  <c r="AY88" i="3" l="1"/>
  <c r="AY134" i="3"/>
  <c r="BH87" i="3"/>
  <c r="BQ134" i="4"/>
  <c r="BH89" i="4"/>
  <c r="BQ89" i="4" s="1"/>
  <c r="AY90" i="4"/>
  <c r="BH134" i="3" l="1"/>
  <c r="BQ87" i="3"/>
  <c r="BH88" i="3"/>
  <c r="BQ88" i="3" s="1"/>
  <c r="AY89" i="3"/>
  <c r="AY91" i="4"/>
  <c r="BH90" i="4"/>
  <c r="BQ90" i="4" s="1"/>
  <c r="BQ134" i="3" l="1"/>
  <c r="AY90" i="3"/>
  <c r="BH89" i="3"/>
  <c r="BQ89" i="3" s="1"/>
  <c r="BH91" i="4"/>
  <c r="AY135" i="4"/>
  <c r="AY92" i="4"/>
  <c r="AY91" i="3" l="1"/>
  <c r="BH90" i="3"/>
  <c r="BQ90" i="3" s="1"/>
  <c r="BQ91" i="4"/>
  <c r="BH135" i="4"/>
  <c r="BH92" i="4"/>
  <c r="BQ92" i="4" s="1"/>
  <c r="AY93" i="4"/>
  <c r="AY92" i="3" l="1"/>
  <c r="BH91" i="3"/>
  <c r="AY135" i="3"/>
  <c r="BH93" i="4"/>
  <c r="BQ93" i="4" s="1"/>
  <c r="AY94" i="4"/>
  <c r="BQ135" i="4"/>
  <c r="BQ91" i="3" l="1"/>
  <c r="BH135" i="3"/>
  <c r="BH92" i="3"/>
  <c r="BQ92" i="3" s="1"/>
  <c r="AY93" i="3"/>
  <c r="BH94" i="4"/>
  <c r="BQ94" i="4" s="1"/>
  <c r="AY95" i="4"/>
  <c r="BQ135" i="3" l="1"/>
  <c r="BH93" i="3"/>
  <c r="BQ93" i="3" s="1"/>
  <c r="AY94" i="3"/>
  <c r="AY96" i="4"/>
  <c r="BH95" i="4"/>
  <c r="AY136" i="4"/>
  <c r="AY95" i="3" l="1"/>
  <c r="BH94" i="3"/>
  <c r="BQ94" i="3" s="1"/>
  <c r="AY97" i="4"/>
  <c r="BH96" i="4"/>
  <c r="BQ96" i="4" s="1"/>
  <c r="BQ95" i="4"/>
  <c r="BH136" i="4"/>
  <c r="AY136" i="3" l="1"/>
  <c r="AY96" i="3"/>
  <c r="BH95" i="3"/>
  <c r="BQ136" i="4"/>
  <c r="BH97" i="4"/>
  <c r="BQ97" i="4" s="1"/>
  <c r="AY98" i="4"/>
  <c r="BH136" i="3" l="1"/>
  <c r="BQ95" i="3"/>
  <c r="AY97" i="3"/>
  <c r="BH96" i="3"/>
  <c r="BQ96" i="3" s="1"/>
  <c r="BH98" i="4"/>
  <c r="BQ98" i="4" s="1"/>
  <c r="AY99" i="4"/>
  <c r="BQ136" i="3" l="1"/>
  <c r="AY98" i="3"/>
  <c r="BH97" i="3"/>
  <c r="BQ97" i="3" s="1"/>
  <c r="AY100" i="4"/>
  <c r="AY137" i="4"/>
  <c r="BH99" i="4"/>
  <c r="BH98" i="3" l="1"/>
  <c r="BQ98" i="3" s="1"/>
  <c r="AY99" i="3"/>
  <c r="BH100" i="4"/>
  <c r="BQ100" i="4" s="1"/>
  <c r="AY101" i="4"/>
  <c r="BH137" i="4"/>
  <c r="BQ99" i="4"/>
  <c r="BH99" i="3" l="1"/>
  <c r="AY137" i="3"/>
  <c r="AY100" i="3"/>
  <c r="BQ137" i="4"/>
  <c r="AY102" i="4"/>
  <c r="BH101" i="4"/>
  <c r="BQ101" i="4" s="1"/>
  <c r="AY101" i="3" l="1"/>
  <c r="BH100" i="3"/>
  <c r="BQ100" i="3" s="1"/>
  <c r="BQ99" i="3"/>
  <c r="BH137" i="3"/>
  <c r="AY103" i="4"/>
  <c r="BH102" i="4"/>
  <c r="BQ102" i="4" s="1"/>
  <c r="BQ137" i="3" l="1"/>
  <c r="AY102" i="3"/>
  <c r="BH101" i="3"/>
  <c r="BQ101" i="3" s="1"/>
  <c r="AY138" i="4"/>
  <c r="AY104" i="4"/>
  <c r="BH103" i="4"/>
  <c r="AY103" i="3" l="1"/>
  <c r="BH102" i="3"/>
  <c r="BQ102" i="3" s="1"/>
  <c r="BH138" i="4"/>
  <c r="BQ103" i="4"/>
  <c r="AY105" i="4"/>
  <c r="BH104" i="4"/>
  <c r="BQ104" i="4" s="1"/>
  <c r="AY138" i="3" l="1"/>
  <c r="AY104" i="3"/>
  <c r="BH103" i="3"/>
  <c r="AY106" i="4"/>
  <c r="BH106" i="4" s="1"/>
  <c r="BQ106" i="4" s="1"/>
  <c r="BH105" i="4"/>
  <c r="BQ105" i="4" s="1"/>
  <c r="BQ138" i="4"/>
  <c r="BH138" i="3" l="1"/>
  <c r="BQ103" i="3"/>
  <c r="BH104" i="3"/>
  <c r="BQ104" i="3" s="1"/>
  <c r="AY105" i="3"/>
  <c r="BQ138" i="3" l="1"/>
  <c r="BH105" i="3"/>
  <c r="BQ105" i="3" s="1"/>
  <c r="AY106" i="3"/>
  <c r="BH106" i="3" s="1"/>
  <c r="BQ106" i="3" s="1"/>
</calcChain>
</file>

<file path=xl/comments1.xml><?xml version="1.0" encoding="utf-8"?>
<comments xmlns="http://schemas.openxmlformats.org/spreadsheetml/2006/main">
  <authors>
    <author>Paul Dolphin</author>
  </authors>
  <commentList>
    <comment ref="D3" authorId="0" shapeId="0">
      <text>
        <r>
          <rPr>
            <sz val="9"/>
            <color indexed="81"/>
            <rFont val="Tahoma"/>
            <family val="2"/>
          </rPr>
          <t>SHOULD AUTO-COMPLETE BASED ON FILENAME AND SITE ADDRESS</t>
        </r>
      </text>
    </comment>
    <comment ref="D4" authorId="0" shapeId="0">
      <text>
        <r>
          <rPr>
            <sz val="9"/>
            <color indexed="81"/>
            <rFont val="Tahoma"/>
            <family val="2"/>
          </rPr>
          <t>SHOULD AUTO-COMPLETE BASED ON FILENAME</t>
        </r>
      </text>
    </comment>
    <comment ref="E8" authorId="0" shapeId="0">
      <text>
        <r>
          <rPr>
            <sz val="9"/>
            <color indexed="81"/>
            <rFont val="Tahoma"/>
            <family val="2"/>
          </rPr>
          <t>Estimated from data, use as a guide only</t>
        </r>
      </text>
    </comment>
    <comment ref="E10" authorId="0" shapeId="0">
      <text>
        <r>
          <rPr>
            <sz val="9"/>
            <color indexed="81"/>
            <rFont val="Tahoma"/>
            <family val="2"/>
          </rPr>
          <t>Estimated from data</t>
        </r>
      </text>
    </comment>
    <comment ref="D16" authorId="0" shapeId="0">
      <text>
        <r>
          <rPr>
            <sz val="9"/>
            <color indexed="81"/>
            <rFont val="Tahoma"/>
            <family val="2"/>
          </rPr>
          <t>TODAY'S DATE, ENTER USING CTRL &amp; ;</t>
        </r>
      </text>
    </comment>
  </commentList>
</comments>
</file>

<file path=xl/sharedStrings.xml><?xml version="1.0" encoding="utf-8"?>
<sst xmlns="http://schemas.openxmlformats.org/spreadsheetml/2006/main" count="7208" uniqueCount="465">
  <si>
    <t>TOTAL</t>
  </si>
  <si>
    <t>CLASS 1</t>
  </si>
  <si>
    <t>CLASS 2</t>
  </si>
  <si>
    <t>CLASS 3</t>
  </si>
  <si>
    <t>CLASS 4</t>
  </si>
  <si>
    <t>CLASS 5</t>
  </si>
  <si>
    <t>CLASS 6</t>
  </si>
  <si>
    <t>CLASS 7</t>
  </si>
  <si>
    <t>CLASS 8</t>
  </si>
  <si>
    <t>CLASS 9</t>
  </si>
  <si>
    <t>CLASS 10</t>
  </si>
  <si>
    <t>TIME</t>
  </si>
  <si>
    <t>AVG SPD</t>
  </si>
  <si>
    <t>85%ile</t>
  </si>
  <si>
    <t>PSL SPEEDING</t>
  </si>
  <si>
    <t>PSL% SPEEDING</t>
  </si>
  <si>
    <t>ACPO SPEEDING</t>
  </si>
  <si>
    <t>ACPO% SPEEDING</t>
  </si>
  <si>
    <t>DfT SPEEDING</t>
  </si>
  <si>
    <t>DfT% SPEEDING</t>
  </si>
  <si>
    <t>PROJECT</t>
  </si>
  <si>
    <t>SITE</t>
  </si>
  <si>
    <t>LOCATION</t>
  </si>
  <si>
    <t>DIRECTION</t>
  </si>
  <si>
    <t/>
  </si>
  <si>
    <t>1</t>
  </si>
  <si>
    <t>2</t>
  </si>
  <si>
    <t>3</t>
  </si>
  <si>
    <t>4</t>
  </si>
  <si>
    <t>5</t>
  </si>
  <si>
    <t>6</t>
  </si>
  <si>
    <t>7</t>
  </si>
  <si>
    <t>8</t>
  </si>
  <si>
    <t>9</t>
  </si>
  <si>
    <t>10</t>
  </si>
  <si>
    <t>ACPO</t>
  </si>
  <si>
    <t>DFT</t>
  </si>
  <si>
    <t>0000</t>
  </si>
  <si>
    <t>0015</t>
  </si>
  <si>
    <t>0100</t>
  </si>
  <si>
    <t>0030</t>
  </si>
  <si>
    <t>0200</t>
  </si>
  <si>
    <t>0045</t>
  </si>
  <si>
    <t>0300</t>
  </si>
  <si>
    <t>0400</t>
  </si>
  <si>
    <t>0115</t>
  </si>
  <si>
    <t>0500</t>
  </si>
  <si>
    <t>0130</t>
  </si>
  <si>
    <t>0600</t>
  </si>
  <si>
    <t>0145</t>
  </si>
  <si>
    <t>0700</t>
  </si>
  <si>
    <t>0800</t>
  </si>
  <si>
    <t>0215</t>
  </si>
  <si>
    <t>0900</t>
  </si>
  <si>
    <t>0230</t>
  </si>
  <si>
    <t>1000</t>
  </si>
  <si>
    <t>0245</t>
  </si>
  <si>
    <t>1100</t>
  </si>
  <si>
    <t>1200</t>
  </si>
  <si>
    <t>0315</t>
  </si>
  <si>
    <t>1300</t>
  </si>
  <si>
    <t>0330</t>
  </si>
  <si>
    <t>1400</t>
  </si>
  <si>
    <t>0345</t>
  </si>
  <si>
    <t>1500</t>
  </si>
  <si>
    <t>1600</t>
  </si>
  <si>
    <t>0415</t>
  </si>
  <si>
    <t>1700</t>
  </si>
  <si>
    <t>0430</t>
  </si>
  <si>
    <t>1800</t>
  </si>
  <si>
    <t>0445</t>
  </si>
  <si>
    <t>1900</t>
  </si>
  <si>
    <t>2000</t>
  </si>
  <si>
    <t>0515</t>
  </si>
  <si>
    <t>2100</t>
  </si>
  <si>
    <t>0530</t>
  </si>
  <si>
    <t>2200</t>
  </si>
  <si>
    <t>0545</t>
  </si>
  <si>
    <t>2300</t>
  </si>
  <si>
    <t>0615</t>
  </si>
  <si>
    <t>0630</t>
  </si>
  <si>
    <t>0645</t>
  </si>
  <si>
    <t>0715</t>
  </si>
  <si>
    <t>0730</t>
  </si>
  <si>
    <t>0745</t>
  </si>
  <si>
    <t>0815</t>
  </si>
  <si>
    <t>0830</t>
  </si>
  <si>
    <t>0845</t>
  </si>
  <si>
    <t>0915</t>
  </si>
  <si>
    <t>0930</t>
  </si>
  <si>
    <t>0945</t>
  </si>
  <si>
    <t>1015</t>
  </si>
  <si>
    <t>1030</t>
  </si>
  <si>
    <t>1045</t>
  </si>
  <si>
    <t>1115</t>
  </si>
  <si>
    <t>1130</t>
  </si>
  <si>
    <t>1145</t>
  </si>
  <si>
    <t>1215</t>
  </si>
  <si>
    <t>1230</t>
  </si>
  <si>
    <t>1245</t>
  </si>
  <si>
    <t>1315</t>
  </si>
  <si>
    <t>1330</t>
  </si>
  <si>
    <t>1345</t>
  </si>
  <si>
    <t>1415</t>
  </si>
  <si>
    <t>1430</t>
  </si>
  <si>
    <t>1445</t>
  </si>
  <si>
    <t>1515</t>
  </si>
  <si>
    <t>1530</t>
  </si>
  <si>
    <t>1545</t>
  </si>
  <si>
    <t>1615</t>
  </si>
  <si>
    <t>1630</t>
  </si>
  <si>
    <t>1645</t>
  </si>
  <si>
    <t>1715</t>
  </si>
  <si>
    <t>1730</t>
  </si>
  <si>
    <t>1745</t>
  </si>
  <si>
    <t>1815</t>
  </si>
  <si>
    <t>1830</t>
  </si>
  <si>
    <t>1845</t>
  </si>
  <si>
    <t>1915</t>
  </si>
  <si>
    <t>1930</t>
  </si>
  <si>
    <t>1945</t>
  </si>
  <si>
    <t>2015</t>
  </si>
  <si>
    <t>2030</t>
  </si>
  <si>
    <t>2045</t>
  </si>
  <si>
    <t>2115</t>
  </si>
  <si>
    <t>2130</t>
  </si>
  <si>
    <t>2145</t>
  </si>
  <si>
    <t>2215</t>
  </si>
  <si>
    <t>2230</t>
  </si>
  <si>
    <t>2245</t>
  </si>
  <si>
    <t>2315</t>
  </si>
  <si>
    <t>2330</t>
  </si>
  <si>
    <t>2345</t>
  </si>
  <si>
    <t>07-19</t>
  </si>
  <si>
    <t>06-22</t>
  </si>
  <si>
    <t>06-00</t>
  </si>
  <si>
    <t>00-00</t>
  </si>
  <si>
    <t>SITE REF</t>
  </si>
  <si>
    <t>START DATE</t>
  </si>
  <si>
    <t>CLASS SCHEME</t>
  </si>
  <si>
    <t>SPEED LIMIT</t>
  </si>
  <si>
    <t>COUNTER TYPE</t>
  </si>
  <si>
    <t>BUS ROUTE</t>
  </si>
  <si>
    <t>OSGR</t>
  </si>
  <si>
    <t>OUTPUT DATE</t>
  </si>
  <si>
    <t>BIN 1</t>
  </si>
  <si>
    <t>Mcycles</t>
  </si>
  <si>
    <t>BIN 2</t>
  </si>
  <si>
    <t>Cars, taxis, 4WD</t>
  </si>
  <si>
    <t>BIN 3</t>
  </si>
  <si>
    <t>Cars plus trailer</t>
  </si>
  <si>
    <t>BIN 4</t>
  </si>
  <si>
    <t>2-axle truck/bus</t>
  </si>
  <si>
    <t>BIN 5</t>
  </si>
  <si>
    <t>3-axle truck/bus</t>
  </si>
  <si>
    <t>BIN 6</t>
  </si>
  <si>
    <t>4-axle truck</t>
  </si>
  <si>
    <t>BIN 7</t>
  </si>
  <si>
    <t>3-axle articulated</t>
  </si>
  <si>
    <t>BIN 8</t>
  </si>
  <si>
    <t>4-axle articulated</t>
  </si>
  <si>
    <t>BIN 9</t>
  </si>
  <si>
    <t>5-axle articulated</t>
  </si>
  <si>
    <t>BIN 10</t>
  </si>
  <si>
    <t>6+ axle articulated</t>
  </si>
  <si>
    <t>.</t>
  </si>
  <si>
    <t>PSL</t>
  </si>
  <si>
    <t>VOLUME</t>
  </si>
  <si>
    <t>SPEED</t>
  </si>
  <si>
    <t>AVG 85%</t>
  </si>
  <si>
    <t>Total recorded volume</t>
  </si>
  <si>
    <t>HGVs</t>
  </si>
  <si>
    <t>DESCRIPTION</t>
  </si>
  <si>
    <t>12hr TTL</t>
  </si>
  <si>
    <t>24hr TTL</t>
  </si>
  <si>
    <t>AVG CLASS</t>
  </si>
  <si>
    <t>Generated</t>
  </si>
  <si>
    <t>BUS</t>
  </si>
  <si>
    <t>SPEEDING VOL</t>
  </si>
  <si>
    <t>Avg 12hr weekday speed (Mon-Fri, 0700-1900)</t>
  </si>
  <si>
    <t>Avg weekday speed (Mon-Fri, 24hrs)</t>
  </si>
  <si>
    <t>Avg weekday volume (Mon-Fri, 24hrs)</t>
  </si>
  <si>
    <t>Avg 12hr weekday 85%ile (Mon-Fri, 0700-1900)</t>
  </si>
  <si>
    <t>LOC. DESC.</t>
  </si>
  <si>
    <t>END DATE</t>
  </si>
  <si>
    <t>MC</t>
  </si>
  <si>
    <t>Motorcycle</t>
  </si>
  <si>
    <t>SV</t>
  </si>
  <si>
    <t>SVT</t>
  </si>
  <si>
    <t>Class 2 plus trailer</t>
  </si>
  <si>
    <t>TB2</t>
  </si>
  <si>
    <t>2 axle truck / bus</t>
  </si>
  <si>
    <t>TB3</t>
  </si>
  <si>
    <t>3 axle truck / bus</t>
  </si>
  <si>
    <t>T4</t>
  </si>
  <si>
    <t>4 axle truck</t>
  </si>
  <si>
    <t>ART3</t>
  </si>
  <si>
    <t>3 axle articulated</t>
  </si>
  <si>
    <t>ART4</t>
  </si>
  <si>
    <t>4 axle articulated</t>
  </si>
  <si>
    <t>ART5</t>
  </si>
  <si>
    <t>5 axle articulated</t>
  </si>
  <si>
    <t>ART6</t>
  </si>
  <si>
    <t>Weather &amp; environmental</t>
  </si>
  <si>
    <t>Equipment damage &amp; failure</t>
  </si>
  <si>
    <t>Roadworks &amp; events</t>
  </si>
  <si>
    <t>Disclaimer</t>
  </si>
  <si>
    <t>SHORT
Up to 5.5m</t>
  </si>
  <si>
    <t>MEDIUM
5.5m to 14.5m</t>
  </si>
  <si>
    <t>LONG
11.5m to 19.0m</t>
  </si>
  <si>
    <t>Vehicle classifications</t>
  </si>
  <si>
    <t>CLASS</t>
  </si>
  <si>
    <t>ABBREV.</t>
  </si>
  <si>
    <t>LENGTH</t>
  </si>
  <si>
    <t>AQMA</t>
  </si>
  <si>
    <t>CAR</t>
  </si>
  <si>
    <t>HGV ARTIC</t>
  </si>
  <si>
    <t>HGV
RIGID</t>
  </si>
  <si>
    <t>MANUAL</t>
  </si>
  <si>
    <t>HGV2</t>
  </si>
  <si>
    <t>HGV1</t>
  </si>
  <si>
    <t>Cars, taxis, 4WD, vans</t>
  </si>
  <si>
    <t>CAR &amp;
LGV1</t>
  </si>
  <si>
    <t>LGV &amp;
MGV</t>
  </si>
  <si>
    <t>LGV2 &amp;
PSV</t>
  </si>
  <si>
    <t>MGV &amp;
PSV</t>
  </si>
  <si>
    <t>Where possible, roadworks checks are made 10 days before, and 48 hours before, the survey commences. Additionally, influencing major local events are also monitored, covering the immediate vicinity of the surveys and any routes likely to affect the outcome of the survey.</t>
  </si>
  <si>
    <t xml:space="preserve">Inclement conditions during winter months or outbreaks of unseasonable weather may affect survey data collection. This can result in distorted traffic flows or unusable data and should be considered prior to survey approval. Although forecast checks are made prior to the survey commencing,  Essex Highways cannot be held responsible for the forecast accuracy. </t>
  </si>
  <si>
    <t>Equipment &amp; methodology</t>
  </si>
  <si>
    <t>Although checked intermittently the equipment remains unmanned for much of the duration of the survey, and can potentially be interfered with, vandalised, damaged or stolen and Essex Highways cannot be held responsible for any periods where data has not been captured.
The equipment is located in accordance with the details provided by the client and Essex Highways cannot be held responsible for the accuracy of the data or loss of equipment due to theft and vandalism.</t>
  </si>
  <si>
    <t>ISSUES</t>
  </si>
  <si>
    <t>SURVEY TYPE</t>
  </si>
  <si>
    <t>MetroCount</t>
  </si>
  <si>
    <t>AADT (annual average daily traffic)</t>
  </si>
  <si>
    <t>COUNT</t>
  </si>
  <si>
    <t>AVG SPD CALC</t>
  </si>
  <si>
    <t>SUMMARY</t>
  </si>
  <si>
    <t>DAILY VOLUMES</t>
  </si>
  <si>
    <t>SITE LOCATION</t>
  </si>
  <si>
    <t>METHODOLOGY</t>
  </si>
  <si>
    <t>HOURLY VOLUMES</t>
  </si>
  <si>
    <t>ATC</t>
  </si>
  <si>
    <t>northeast</t>
  </si>
  <si>
    <t>east</t>
  </si>
  <si>
    <t>southeast</t>
  </si>
  <si>
    <t>south</t>
  </si>
  <si>
    <t>north</t>
  </si>
  <si>
    <t>northwest</t>
  </si>
  <si>
    <t>west</t>
  </si>
  <si>
    <t>southwest</t>
  </si>
  <si>
    <t>DAY 1</t>
  </si>
  <si>
    <t>DAY 2</t>
  </si>
  <si>
    <t>DAY 3</t>
  </si>
  <si>
    <t>DAY 4</t>
  </si>
  <si>
    <t>DAY 5</t>
  </si>
  <si>
    <t>DAY 6</t>
  </si>
  <si>
    <t>DAY 7</t>
  </si>
  <si>
    <t>CLS</t>
  </si>
  <si>
    <t>AVG</t>
  </si>
  <si>
    <t>PSL%</t>
  </si>
  <si>
    <t>SL1</t>
  </si>
  <si>
    <t>SL1%</t>
  </si>
  <si>
    <t>SL2</t>
  </si>
  <si>
    <t>SL2%</t>
  </si>
  <si>
    <t>DIR 1</t>
  </si>
  <si>
    <t>DIR 2</t>
  </si>
  <si>
    <t>dest DIR1</t>
  </si>
  <si>
    <t>dest DIR2</t>
  </si>
  <si>
    <t>SPD1</t>
  </si>
  <si>
    <t>SPD2</t>
  </si>
  <si>
    <t>SPD3</t>
  </si>
  <si>
    <t>SPD4</t>
  </si>
  <si>
    <t>SPD5</t>
  </si>
  <si>
    <t>SPD6</t>
  </si>
  <si>
    <t>SPD7</t>
  </si>
  <si>
    <t>SPD8</t>
  </si>
  <si>
    <t>SPD9</t>
  </si>
  <si>
    <t>SPD10</t>
  </si>
  <si>
    <t>SPD11</t>
  </si>
  <si>
    <t>SPD12</t>
  </si>
  <si>
    <t>SPD13</t>
  </si>
  <si>
    <t>SPD14</t>
  </si>
  <si>
    <t>ALL VEHICLES</t>
  </si>
  <si>
    <t>SITE PLAN</t>
  </si>
  <si>
    <t>AustRoad 94 (ARX)</t>
  </si>
  <si>
    <t>CODE</t>
  </si>
  <si>
    <t>TYPE</t>
  </si>
  <si>
    <t>START</t>
  </si>
  <si>
    <t>AADF</t>
  </si>
  <si>
    <t>Map © OpenStreetMap contributors</t>
  </si>
  <si>
    <t>Although every attempt is made to achieve accuracy, neither Essex County Council nor Essex Highways may be held liable for errors of fact or interpretation.</t>
  </si>
  <si>
    <t>SITE ADDRESS</t>
  </si>
  <si>
    <t>LOCATION DESC</t>
  </si>
  <si>
    <t>LATLNG</t>
  </si>
  <si>
    <t>SPEEDING %</t>
  </si>
  <si>
    <t>COBA</t>
  </si>
  <si>
    <t>N/A</t>
  </si>
  <si>
    <t>OGV1</t>
  </si>
  <si>
    <t>OGV2</t>
  </si>
  <si>
    <t>FILENAME</t>
  </si>
  <si>
    <t>CAR &amp; LGV</t>
  </si>
  <si>
    <t>OGV1 &amp; PSV</t>
  </si>
  <si>
    <t>auto-complete</t>
  </si>
  <si>
    <t>CYCLE PROVISION</t>
  </si>
  <si>
    <t>DIR1 VOL</t>
  </si>
  <si>
    <t>DIR2 VOL</t>
  </si>
  <si>
    <t>Vehicles recorded by the ATC are placed into one of ten classes based on axle spacing and pattern. This scheme is based on the AustRoad 94 algorithm and modified for UK traffic, referred to as ARX. The table on the left aligns the ARX classifications with the COBA Chapter 8 (Vol 13, Sec 1) classifications, AQMA (air quality management standard) and the Essex 9-class, as used in manual junction counts undertaken by Essex Highways.
Under adverse conditions the accuracy of ATC classifications will deteriorate and an appropriate link count should be used for validation.</t>
  </si>
  <si>
    <t>The diagram compares total daily traffic flow (vertical axis) against the average daily 85%ile speed (horizontal axis) to demonstrate cyclist and vulnerable user considerations.
The guidelines are based on the Sustrans Design Manual (Apr 2014); Understanding User Needs, part 2.
Valid 85%iles are required to plot the graph.</t>
  </si>
  <si>
    <t>LGV2 / MGV</t>
  </si>
  <si>
    <t>MOTOR CYCLES</t>
  </si>
  <si>
    <t>CARS / LGV1</t>
  </si>
  <si>
    <t>HGV_x000D_ RIGID</t>
  </si>
  <si>
    <t>HGV ARTIC'D</t>
  </si>
  <si>
    <t>SPEED LIMITS</t>
  </si>
  <si>
    <t>85%ILE (CYC)</t>
  </si>
  <si>
    <t>VEH 24HR (CYC)</t>
  </si>
  <si>
    <t>MONTH</t>
  </si>
  <si>
    <t>AADT CALC</t>
  </si>
  <si>
    <t>BIN No.</t>
  </si>
  <si>
    <t>CLASS DESC</t>
  </si>
  <si>
    <t>COMBINED AADT</t>
  </si>
  <si>
    <t>DIR1 16HR</t>
  </si>
  <si>
    <t>DIR2 16HR</t>
  </si>
  <si>
    <t>DIR1 M-FACTOR</t>
  </si>
  <si>
    <t>DIR2 M-FACTOR</t>
  </si>
  <si>
    <t>DIR1 AADT</t>
  </si>
  <si>
    <t>DIR2 AADT</t>
  </si>
  <si>
    <t>DIR1 85%ILE</t>
  </si>
  <si>
    <t>DIR2 85%ILE</t>
  </si>
  <si>
    <t>DIR1 COMPASS</t>
  </si>
  <si>
    <t>DIR2 COMPASS</t>
  </si>
  <si>
    <t>DATE</t>
  </si>
  <si>
    <t>avg</t>
  </si>
  <si>
    <t>sum</t>
  </si>
  <si>
    <t>5DAY DIR1 VOL</t>
  </si>
  <si>
    <t>5DAY DIR2 VOL</t>
  </si>
  <si>
    <t>5DAY DIR1 85%ILE</t>
  </si>
  <si>
    <t>5DAY DIR2 85%ILE</t>
  </si>
  <si>
    <t>DIR1 24HR SPEED</t>
  </si>
  <si>
    <t>DIR2 24HR SPEED</t>
  </si>
  <si>
    <t>5DAY DIR1 24HR SPEED</t>
  </si>
  <si>
    <t>5DAY DIR2 24HR SPEED</t>
  </si>
  <si>
    <t>DIR1 VOL SPEED+</t>
  </si>
  <si>
    <t>DIR2 VOL SPEED+</t>
  </si>
  <si>
    <t>5DAY DIR1 SPEED+</t>
  </si>
  <si>
    <t>5DAY DIR2 SPEED+</t>
  </si>
  <si>
    <t>DIR1 % SPEED+</t>
  </si>
  <si>
    <t>DIR2 % SPEED+</t>
  </si>
  <si>
    <t>5DAY DIR1 %SPD+</t>
  </si>
  <si>
    <t>5DAY DIR2 %SPD+</t>
  </si>
  <si>
    <t>valid days</t>
  </si>
  <si>
    <t>TTLS</t>
  </si>
  <si>
    <t>DIRECTIONS</t>
  </si>
  <si>
    <t>DIR1</t>
  </si>
  <si>
    <t>DIR2</t>
  </si>
  <si>
    <t>ttl days</t>
  </si>
  <si>
    <t>DIR1 12HR SPEED</t>
  </si>
  <si>
    <t>DIR2 12HR SPEED</t>
  </si>
  <si>
    <t>5DAY DIR1 12HR SPEED</t>
  </si>
  <si>
    <t>5DAY DIR2 12HR SPEED</t>
  </si>
  <si>
    <t>DIR1 12HR 85%ILE</t>
  </si>
  <si>
    <t>DIR2 12HR 85%ILE</t>
  </si>
  <si>
    <t>5DAY 12HR DIR1 85%ILE</t>
  </si>
  <si>
    <t>5DAY 12HR DIR2 85%ILE</t>
  </si>
  <si>
    <t>DAY STATUS</t>
  </si>
  <si>
    <t>ttl wk days</t>
  </si>
  <si>
    <t>Coloured values indicate dynamic data; black text within cells is static (but editable if req'd, although not recommended).</t>
  </si>
  <si>
    <t>24HR SPEEDS</t>
  </si>
  <si>
    <t>12HR SPEEDS</t>
  </si>
  <si>
    <t>24HR 85%ILES</t>
  </si>
  <si>
    <t>12HR 85%ILES</t>
  </si>
  <si>
    <t>24HR VOLUMES</t>
  </si>
  <si>
    <t>12HR VOLUMES</t>
  </si>
  <si>
    <t>DIR1 12HR VOL</t>
  </si>
  <si>
    <t>DIR2 12HR VOL</t>
  </si>
  <si>
    <t>5DAY DIR1 12HR VOL</t>
  </si>
  <si>
    <t>5DAY DIR2 12HR VOL</t>
  </si>
  <si>
    <t>DAY INFO</t>
  </si>
  <si>
    <t>SPEEDING VOLS</t>
  </si>
  <si>
    <t>AVGS</t>
  </si>
  <si>
    <t>16HR DIR2 VOL</t>
  </si>
  <si>
    <t>16HR DIR1 VOL</t>
  </si>
  <si>
    <t>16HR VOLS</t>
  </si>
  <si>
    <t>TTL VOL</t>
  </si>
  <si>
    <t>CHECKS</t>
  </si>
  <si>
    <t>DIR1 MAX DAY SPEED</t>
  </si>
  <si>
    <t>DIR2 MAX DAY SPEED</t>
  </si>
  <si>
    <t>max</t>
  </si>
  <si>
    <t>CYC GRAPH DATA</t>
  </si>
  <si>
    <t>VEH. CLASSES</t>
  </si>
  <si>
    <t>15min VOL &amp; SPEED</t>
  </si>
  <si>
    <t>Low vol</t>
  </si>
  <si>
    <t>High vol</t>
  </si>
  <si>
    <t>↑</t>
  </si>
  <si>
    <t>↗</t>
  </si>
  <si>
    <t>→</t>
  </si>
  <si>
    <t>↘</t>
  </si>
  <si>
    <t>↓</t>
  </si>
  <si>
    <t>↙</t>
  </si>
  <si>
    <t>←</t>
  </si>
  <si>
    <t>↖</t>
  </si>
  <si>
    <t>High days</t>
  </si>
  <si>
    <t>LAT, LNG (WGS84)</t>
  </si>
  <si>
    <t>OSGR (OSGB36)</t>
  </si>
  <si>
    <t>Avg 12hr weekday volume (Mon-Fri, 0700-1900)</t>
  </si>
  <si>
    <t>Automatic traffic counts are undertaken using a pair of pneumatic tubes installed securely across the carriageway, one metre apart, recording air pulses to determine vehicle speed, class and volume. The ATC equipment generally remains in place for a consecutive seven day period, and the data analysed post-survey.
In queuing conditions, the accuracy of ATC recording equipment will reduce as follows;
·    20 – 30mph: potential reduction of 9% accuracy in volume values
·    10 – 20mph: potential reduction of 26% accuracy in volume values
·    00 – 10mph: potential reduction of 39% accuracy in volume values
These figures are based on multiple ATC results compared against accepted reference values from resilient manual counts.
AADTs are calculated using the seasonal COBA methodology; DMRB Vol. 13, Pt 4: Traffic Input To COBA, with formulae available in the (hidden) config worksheet.</t>
  </si>
  <si>
    <t>logo</t>
  </si>
  <si>
    <t>Yes</t>
  </si>
  <si>
    <t>No</t>
  </si>
  <si>
    <t>Site num</t>
  </si>
  <si>
    <t>Proj num</t>
  </si>
  <si>
    <t>DIR1 MON-FRI PEAKS</t>
  </si>
  <si>
    <t>DIR2 MON-FRI PEAKS</t>
  </si>
  <si>
    <t>AM</t>
  </si>
  <si>
    <t>PM</t>
  </si>
  <si>
    <t>DAY1</t>
  </si>
  <si>
    <t>DAY2</t>
  </si>
  <si>
    <t>DAY3</t>
  </si>
  <si>
    <t>DAY4</t>
  </si>
  <si>
    <t>DAY5</t>
  </si>
  <si>
    <t>DAY6</t>
  </si>
  <si>
    <t>DAY7</t>
  </si>
  <si>
    <t>5-DAY CLASS</t>
  </si>
  <si>
    <t>5-DAY AVERAGE CLASSES</t>
  </si>
  <si>
    <t>HOURLY SPEEDS</t>
  </si>
  <si>
    <t>7-day, 2-way</t>
  </si>
  <si>
    <t>AM avg peak vol period (Mon-Fri)</t>
  </si>
  <si>
    <t>PM avg peak vol period (Mon-Fri)</t>
  </si>
  <si>
    <t>SPD LIMIT</t>
  </si>
  <si>
    <t>LAT / LNG</t>
  </si>
  <si>
    <t>DESC.</t>
  </si>
  <si>
    <t>PROJECT &amp; SITE</t>
  </si>
  <si>
    <t>DIRECTION 1</t>
  </si>
  <si>
    <t>DIRECTION 2</t>
  </si>
  <si>
    <t>85%ILE (combi)</t>
  </si>
  <si>
    <t>VEH 24HR (combi)</t>
  </si>
  <si>
    <t>v6.9c</t>
  </si>
  <si>
    <t>DATES</t>
  </si>
  <si>
    <t>Plains Rd (W), Gt Totham</t>
  </si>
  <si>
    <t>TP, 290m E of j/w Beckingham Rd</t>
  </si>
  <si>
    <t>587759, 212708</t>
  </si>
  <si>
    <t>51.781525, 0.720540</t>
  </si>
  <si>
    <t>MB</t>
  </si>
  <si>
    <t>CAR+</t>
  </si>
  <si>
    <t>2AXLE</t>
  </si>
  <si>
    <t>3AXLE</t>
  </si>
  <si>
    <t>4AXLE</t>
  </si>
  <si>
    <t>3ARTIC</t>
  </si>
  <si>
    <t>4ARTIC</t>
  </si>
  <si>
    <t>5ARTIC</t>
  </si>
  <si>
    <t>6ARTIC</t>
  </si>
  <si>
    <t>0</t>
  </si>
  <si>
    <t>15</t>
  </si>
  <si>
    <t>20</t>
  </si>
  <si>
    <t>25</t>
  </si>
  <si>
    <t>30</t>
  </si>
  <si>
    <t>35</t>
  </si>
  <si>
    <t>40</t>
  </si>
  <si>
    <t>45</t>
  </si>
  <si>
    <t>50</t>
  </si>
  <si>
    <t>60</t>
  </si>
  <si>
    <t>70</t>
  </si>
  <si>
    <t>80</t>
  </si>
  <si>
    <t>90</t>
  </si>
  <si>
    <t>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</si>
</sst>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
    <numFmt numFmtId="165" formatCode="ddd\ dd\ mmm"/>
    <numFmt numFmtId="166" formatCode="ddd\ dd\ mmm\,\ yyyy"/>
    <numFmt numFmtId="167" formatCode="[$-809]d\ mmmm\ yyyy;@"/>
    <numFmt numFmtId="168" formatCode="dd\ mmm\ yyyy;@"/>
    <numFmt numFmtId="169" formatCode="[$-F800]dddd\,\ mmmm\ dd\,\ yyyy"/>
    <numFmt numFmtId="170" formatCode="0.0%"/>
    <numFmt numFmtId="171" formatCode="ddd\ dd\ mmm\ yyyy;@"/>
    <numFmt numFmtId="172" formatCode="dd\ mmm\ \'yy"/>
    <numFmt numFmtId="173" formatCode="[$-F400]h:mm:ss\ AM/PM"/>
  </numFmts>
  <fonts count="8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Calibri"/>
      <family val="2"/>
    </font>
    <font>
      <b/>
      <sz val="11"/>
      <name val="Calibri"/>
      <family val="2"/>
    </font>
    <font>
      <sz val="11"/>
      <name val="Calibri"/>
      <family val="2"/>
    </font>
    <font>
      <sz val="16"/>
      <name val="Calibri"/>
      <family val="2"/>
      <scheme val="minor"/>
    </font>
    <font>
      <b/>
      <sz val="10"/>
      <name val="Arial"/>
      <family val="2"/>
    </font>
    <font>
      <sz val="10"/>
      <name val="Calibri"/>
      <family val="2"/>
      <scheme val="minor"/>
    </font>
    <font>
      <b/>
      <sz val="10"/>
      <color theme="8" tint="-0.249977111117893"/>
      <name val="Calibri"/>
      <family val="2"/>
      <scheme val="minor"/>
    </font>
    <font>
      <b/>
      <sz val="10"/>
      <color rgb="FFFF0000"/>
      <name val="Calibri"/>
      <family val="2"/>
      <scheme val="minor"/>
    </font>
    <font>
      <b/>
      <sz val="16"/>
      <color rgb="FFFF0000"/>
      <name val="Calibri"/>
      <family val="2"/>
      <scheme val="minor"/>
    </font>
    <font>
      <b/>
      <sz val="16"/>
      <color theme="8" tint="-0.249977111117893"/>
      <name val="Calibri"/>
      <family val="2"/>
      <scheme val="minor"/>
    </font>
    <font>
      <sz val="10"/>
      <color theme="1"/>
      <name val="Calibri"/>
      <family val="2"/>
      <scheme val="minor"/>
    </font>
    <font>
      <sz val="10"/>
      <color rgb="FFFF0000"/>
      <name val="Calibri"/>
      <family val="2"/>
      <scheme val="minor"/>
    </font>
    <font>
      <b/>
      <sz val="10"/>
      <color rgb="FFFF0000"/>
      <name val="Arial"/>
      <family val="2"/>
    </font>
    <font>
      <sz val="8"/>
      <name val="Calibri"/>
      <family val="2"/>
      <scheme val="minor"/>
    </font>
    <font>
      <sz val="16"/>
      <color theme="1"/>
      <name val="Calibri"/>
      <family val="2"/>
      <scheme val="minor"/>
    </font>
    <font>
      <b/>
      <sz val="48"/>
      <color theme="1"/>
      <name val="Calibri"/>
      <family val="2"/>
      <scheme val="minor"/>
    </font>
    <font>
      <sz val="11"/>
      <color rgb="FFC00000"/>
      <name val="Calibri"/>
      <family val="2"/>
      <scheme val="minor"/>
    </font>
    <font>
      <b/>
      <sz val="11"/>
      <name val="Calibri"/>
      <family val="2"/>
      <scheme val="minor"/>
    </font>
    <font>
      <sz val="8"/>
      <color theme="1"/>
      <name val="Calibri"/>
      <family val="2"/>
      <scheme val="minor"/>
    </font>
    <font>
      <sz val="20"/>
      <color theme="1"/>
      <name val="Calibri"/>
      <family val="2"/>
      <scheme val="minor"/>
    </font>
    <font>
      <sz val="11"/>
      <name val="Calibri"/>
      <family val="2"/>
      <scheme val="minor"/>
    </font>
    <font>
      <sz val="11"/>
      <color theme="0" tint="-0.499984740745262"/>
      <name val="Calibri"/>
      <family val="2"/>
      <scheme val="minor"/>
    </font>
    <font>
      <sz val="24"/>
      <color theme="1"/>
      <name val="Calibri"/>
      <family val="2"/>
      <scheme val="minor"/>
    </font>
    <font>
      <b/>
      <sz val="11"/>
      <color rgb="FFFF0000"/>
      <name val="Calibri"/>
      <family val="2"/>
      <scheme val="minor"/>
    </font>
    <font>
      <b/>
      <sz val="11"/>
      <color theme="0" tint="-0.499984740745262"/>
      <name val="Calibri"/>
      <family val="2"/>
      <scheme val="minor"/>
    </font>
    <font>
      <b/>
      <sz val="12"/>
      <color rgb="FFC00000"/>
      <name val="Calibri"/>
      <family val="2"/>
      <scheme val="minor"/>
    </font>
    <font>
      <b/>
      <sz val="11"/>
      <color theme="5" tint="-0.499984740745262"/>
      <name val="Calibri"/>
      <family val="2"/>
      <scheme val="minor"/>
    </font>
    <font>
      <sz val="11"/>
      <color theme="5" tint="-0.499984740745262"/>
      <name val="Calibri"/>
      <family val="2"/>
      <scheme val="minor"/>
    </font>
    <font>
      <sz val="10"/>
      <color theme="0" tint="-0.499984740745262"/>
      <name val="Calibri"/>
      <family val="2"/>
      <scheme val="minor"/>
    </font>
    <font>
      <sz val="10"/>
      <color theme="9" tint="-0.249977111117893"/>
      <name val="Calibri"/>
      <family val="2"/>
      <scheme val="minor"/>
    </font>
    <font>
      <b/>
      <sz val="10"/>
      <color indexed="10"/>
      <name val="Arial"/>
      <family val="2"/>
    </font>
    <font>
      <b/>
      <sz val="10"/>
      <name val="Calibri"/>
      <family val="2"/>
      <scheme val="minor"/>
    </font>
    <font>
      <sz val="11"/>
      <color rgb="FFFF0000"/>
      <name val="Calibri"/>
      <family val="2"/>
      <scheme val="minor"/>
    </font>
    <font>
      <b/>
      <sz val="11"/>
      <color indexed="8"/>
      <name val="Calibri"/>
      <family val="2"/>
      <scheme val="minor"/>
    </font>
    <font>
      <b/>
      <sz val="12"/>
      <color theme="1"/>
      <name val="Calibri"/>
      <family val="2"/>
      <scheme val="minor"/>
    </font>
    <font>
      <b/>
      <sz val="10"/>
      <color theme="1"/>
      <name val="Calibri"/>
      <family val="2"/>
      <scheme val="minor"/>
    </font>
    <font>
      <b/>
      <sz val="10"/>
      <color theme="0" tint="-0.499984740745262"/>
      <name val="Calibri"/>
      <family val="2"/>
      <scheme val="minor"/>
    </font>
    <font>
      <b/>
      <sz val="16"/>
      <name val="Calibri"/>
      <family val="2"/>
    </font>
    <font>
      <sz val="16"/>
      <name val="Calibri"/>
      <family val="2"/>
    </font>
    <font>
      <sz val="7"/>
      <color theme="1"/>
      <name val="Calibri"/>
      <family val="2"/>
      <scheme val="minor"/>
    </font>
    <font>
      <sz val="8"/>
      <color theme="0" tint="-0.34998626667073579"/>
      <name val="Calibri"/>
      <family val="2"/>
      <scheme val="minor"/>
    </font>
    <font>
      <sz val="9"/>
      <color theme="0" tint="-0.499984740745262"/>
      <name val="Calibri"/>
      <family val="2"/>
      <scheme val="minor"/>
    </font>
    <font>
      <sz val="9"/>
      <color theme="1"/>
      <name val="Calibri"/>
      <family val="2"/>
      <scheme val="minor"/>
    </font>
    <font>
      <sz val="10"/>
      <color theme="9"/>
      <name val="Calibri"/>
      <family val="2"/>
      <scheme val="minor"/>
    </font>
    <font>
      <sz val="10"/>
      <color theme="5"/>
      <name val="Calibri"/>
      <family val="2"/>
      <scheme val="minor"/>
    </font>
    <font>
      <i/>
      <sz val="10"/>
      <color rgb="FFFF0000"/>
      <name val="Calibri"/>
      <family val="2"/>
      <scheme val="minor"/>
    </font>
    <font>
      <i/>
      <sz val="10"/>
      <name val="Calibri"/>
      <family val="2"/>
      <scheme val="minor"/>
    </font>
    <font>
      <i/>
      <sz val="10"/>
      <color theme="5"/>
      <name val="Calibri"/>
      <family val="2"/>
      <scheme val="minor"/>
    </font>
    <font>
      <i/>
      <sz val="10"/>
      <color theme="9"/>
      <name val="Calibri"/>
      <family val="2"/>
      <scheme val="minor"/>
    </font>
    <font>
      <sz val="10"/>
      <color theme="4" tint="-0.249977111117893"/>
      <name val="Calibri"/>
      <family val="2"/>
      <scheme val="minor"/>
    </font>
    <font>
      <b/>
      <sz val="14"/>
      <color rgb="FFC00000"/>
      <name val="Calibri"/>
      <family val="2"/>
      <scheme val="minor"/>
    </font>
    <font>
      <sz val="14"/>
      <name val="Arial"/>
      <family val="2"/>
    </font>
    <font>
      <b/>
      <sz val="14"/>
      <color theme="1"/>
      <name val="Calibri"/>
      <family val="2"/>
      <scheme val="minor"/>
    </font>
    <font>
      <b/>
      <sz val="14"/>
      <color theme="0" tint="-0.249977111117893"/>
      <name val="Calibri"/>
      <family val="2"/>
      <scheme val="minor"/>
    </font>
    <font>
      <b/>
      <sz val="14"/>
      <name val="Arial"/>
      <family val="2"/>
    </font>
    <font>
      <sz val="10"/>
      <color theme="8" tint="-0.249977111117893"/>
      <name val="Calibri"/>
      <family val="2"/>
      <scheme val="minor"/>
    </font>
    <font>
      <sz val="11"/>
      <color theme="4" tint="-0.249977111117893"/>
      <name val="Calibri"/>
      <family val="2"/>
      <scheme val="minor"/>
    </font>
    <font>
      <sz val="11"/>
      <color theme="5" tint="-0.249977111117893"/>
      <name val="Calibri"/>
      <family val="2"/>
      <scheme val="minor"/>
    </font>
    <font>
      <sz val="12"/>
      <name val="Calibri"/>
      <family val="2"/>
      <scheme val="minor"/>
    </font>
    <font>
      <b/>
      <sz val="22"/>
      <color theme="4" tint="-0.249977111117893"/>
      <name val="Calibri"/>
      <family val="2"/>
      <scheme val="minor"/>
    </font>
    <font>
      <b/>
      <sz val="22"/>
      <color theme="5" tint="-0.249977111117893"/>
      <name val="Calibri"/>
      <family val="2"/>
      <scheme val="minor"/>
    </font>
    <font>
      <b/>
      <sz val="10"/>
      <color rgb="FFC00000"/>
      <name val="Calibri"/>
      <family val="2"/>
      <scheme val="minor"/>
    </font>
    <font>
      <sz val="9"/>
      <color indexed="81"/>
      <name val="Tahoma"/>
      <family val="2"/>
    </font>
    <font>
      <sz val="10"/>
      <color theme="0" tint="-0.34998626667073579"/>
      <name val="Calibri"/>
      <family val="2"/>
      <scheme val="minor"/>
    </font>
    <font>
      <sz val="8"/>
      <color theme="0" tint="-0.499984740745262"/>
      <name val="Calibri"/>
      <family val="2"/>
      <scheme val="minor"/>
    </font>
    <font>
      <sz val="9"/>
      <name val="Calibri"/>
      <family val="2"/>
      <scheme val="minor"/>
    </font>
    <font>
      <b/>
      <sz val="14"/>
      <color rgb="FFC00000"/>
      <name val="Arial"/>
      <family val="2"/>
    </font>
    <font>
      <b/>
      <sz val="14"/>
      <color indexed="60"/>
      <name val="Arial"/>
      <family val="2"/>
    </font>
    <font>
      <b/>
      <sz val="10"/>
      <color theme="9" tint="-0.249977111117893"/>
      <name val="Calibri"/>
      <family val="2"/>
      <scheme val="minor"/>
    </font>
    <font>
      <sz val="9"/>
      <color theme="9" tint="-0.249977111117893"/>
      <name val="Calibri"/>
      <family val="2"/>
      <scheme val="minor"/>
    </font>
    <font>
      <b/>
      <sz val="10"/>
      <color rgb="FF7030A0"/>
      <name val="Calibri"/>
      <family val="2"/>
      <scheme val="minor"/>
    </font>
    <font>
      <sz val="9"/>
      <color rgb="FF7030A0"/>
      <name val="Calibri"/>
      <family val="2"/>
      <scheme val="minor"/>
    </font>
    <font>
      <sz val="20"/>
      <name val="Calibri"/>
      <family val="2"/>
      <scheme val="minor"/>
    </font>
    <font>
      <b/>
      <i/>
      <sz val="28"/>
      <name val="Calibri"/>
      <family val="2"/>
    </font>
    <font>
      <b/>
      <sz val="48"/>
      <name val="Calibri"/>
      <family val="2"/>
      <scheme val="minor"/>
    </font>
    <font>
      <sz val="14"/>
      <color theme="1"/>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indexed="9"/>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2"/>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7" tint="0.59999389629810485"/>
        <bgColor indexed="64"/>
      </patternFill>
    </fill>
  </fills>
  <borders count="113">
    <border>
      <left/>
      <right/>
      <top/>
      <bottom/>
      <diagonal/>
    </border>
    <border>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theme="1"/>
      </left>
      <right/>
      <top style="medium">
        <color theme="1"/>
      </top>
      <bottom/>
      <diagonal/>
    </border>
    <border>
      <left/>
      <right/>
      <top style="medium">
        <color theme="1"/>
      </top>
      <bottom/>
      <diagonal/>
    </border>
    <border>
      <left style="medium">
        <color indexed="64"/>
      </left>
      <right style="medium">
        <color indexed="64"/>
      </right>
      <top style="medium">
        <color indexed="64"/>
      </top>
      <bottom style="thin">
        <color theme="0" tint="-0.249977111117893"/>
      </bottom>
      <diagonal/>
    </border>
    <border>
      <left/>
      <right style="medium">
        <color theme="1"/>
      </right>
      <top style="medium">
        <color theme="1"/>
      </top>
      <bottom/>
      <diagonal/>
    </border>
    <border>
      <left style="medium">
        <color theme="1"/>
      </left>
      <right/>
      <top/>
      <bottom/>
      <diagonal/>
    </border>
    <border>
      <left style="medium">
        <color indexed="64"/>
      </left>
      <right style="medium">
        <color indexed="64"/>
      </right>
      <top style="thin">
        <color theme="0" tint="-0.249977111117893"/>
      </top>
      <bottom style="thin">
        <color theme="0" tint="-0.249977111117893"/>
      </bottom>
      <diagonal/>
    </border>
    <border>
      <left/>
      <right style="medium">
        <color theme="1"/>
      </right>
      <top/>
      <bottom/>
      <diagonal/>
    </border>
    <border>
      <left style="medium">
        <color indexed="64"/>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style="medium">
        <color indexed="64"/>
      </right>
      <top style="thin">
        <color theme="0" tint="-0.249977111117893"/>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theme="0" tint="-0.249977111117893"/>
      </top>
      <bottom style="thin">
        <color theme="0" tint="-0.249977111117893"/>
      </bottom>
      <diagonal/>
    </border>
    <border>
      <left style="thin">
        <color indexed="64"/>
      </left>
      <right/>
      <top/>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style="thin">
        <color theme="4" tint="0.79998168889431442"/>
      </right>
      <top style="thin">
        <color theme="4" tint="0.79998168889431442"/>
      </top>
      <bottom style="mediumDashed">
        <color theme="1"/>
      </bottom>
      <diagonal/>
    </border>
    <border>
      <left/>
      <right style="thin">
        <color theme="4" tint="0.79998168889431442"/>
      </right>
      <top style="thin">
        <color theme="4" tint="0.79998168889431442"/>
      </top>
      <bottom style="thin">
        <color theme="4" tint="0.79998168889431442"/>
      </bottom>
      <diagonal/>
    </border>
    <border>
      <left style="medium">
        <color indexed="64"/>
      </left>
      <right style="medium">
        <color indexed="64"/>
      </right>
      <top style="thin">
        <color theme="0" tint="-0.249977111117893"/>
      </top>
      <bottom/>
      <diagonal/>
    </border>
    <border>
      <left style="medium">
        <color indexed="64"/>
      </left>
      <right/>
      <top/>
      <bottom style="thin">
        <color theme="1"/>
      </bottom>
      <diagonal/>
    </border>
    <border>
      <left/>
      <right/>
      <top/>
      <bottom style="thin">
        <color theme="1"/>
      </bottom>
      <diagonal/>
    </border>
    <border>
      <left/>
      <right style="medium">
        <color indexed="64"/>
      </right>
      <top/>
      <bottom style="thin">
        <color theme="1"/>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499984740745262"/>
      </left>
      <right style="thin">
        <color theme="0" tint="-0.499984740745262"/>
      </right>
      <top/>
      <bottom style="hair">
        <color indexed="64"/>
      </bottom>
      <diagonal/>
    </border>
    <border>
      <left style="thin">
        <color theme="0" tint="-0.499984740745262"/>
      </left>
      <right style="thin">
        <color theme="0" tint="-0.499984740745262"/>
      </right>
      <top style="hair">
        <color indexed="64"/>
      </top>
      <bottom/>
      <diagonal/>
    </border>
    <border>
      <left style="thin">
        <color theme="0" tint="-0.499984740745262"/>
      </left>
      <right style="thin">
        <color theme="0" tint="-0.499984740745262"/>
      </right>
      <top style="hair">
        <color indexed="64"/>
      </top>
      <bottom style="thin">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right/>
      <top/>
      <bottom style="thin">
        <color theme="0" tint="-0.249977111117893"/>
      </bottom>
      <diagonal/>
    </border>
    <border>
      <left/>
      <right style="thin">
        <color theme="0" tint="-0.34998626667073579"/>
      </right>
      <top/>
      <bottom style="thin">
        <color theme="0" tint="-0.34998626667073579"/>
      </bottom>
      <diagonal/>
    </border>
    <border>
      <left style="medium">
        <color indexed="64"/>
      </left>
      <right/>
      <top/>
      <bottom style="thin">
        <color theme="0" tint="-0.249977111117893"/>
      </bottom>
      <diagonal/>
    </border>
    <border>
      <left style="medium">
        <color indexed="64"/>
      </left>
      <right/>
      <top style="thin">
        <color theme="0" tint="-0.249977111117893"/>
      </top>
      <bottom style="thin">
        <color theme="0" tint="-0.249977111117893"/>
      </bottom>
      <diagonal/>
    </border>
    <border>
      <left style="medium">
        <color indexed="64"/>
      </left>
      <right/>
      <top style="thin">
        <color theme="0" tint="-0.249977111117893"/>
      </top>
      <bottom/>
      <diagonal/>
    </border>
    <border>
      <left/>
      <right/>
      <top/>
      <bottom style="thin">
        <color theme="0" tint="-0.499984740745262"/>
      </bottom>
      <diagonal/>
    </border>
    <border>
      <left/>
      <right style="thin">
        <color theme="4" tint="0.79998168889431442"/>
      </right>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top style="thin">
        <color theme="4" tint="0.79998168889431442"/>
      </top>
      <bottom style="mediumDashed">
        <color theme="1"/>
      </bottom>
      <diagonal/>
    </border>
    <border>
      <left style="thin">
        <color theme="4" tint="0.79998168889431442"/>
      </left>
      <right/>
      <top/>
      <bottom style="thin">
        <color theme="4" tint="0.79998168889431442"/>
      </bottom>
      <diagonal/>
    </border>
    <border>
      <left/>
      <right style="thin">
        <color theme="4" tint="0.79998168889431442"/>
      </right>
      <top style="thin">
        <color theme="4" tint="0.79998168889431442"/>
      </top>
      <bottom style="mediumDashed">
        <color theme="1"/>
      </bottom>
      <diagonal/>
    </border>
    <border>
      <left style="thin">
        <color indexed="64"/>
      </left>
      <right style="thin">
        <color theme="4" tint="0.79998168889431442"/>
      </right>
      <top style="thin">
        <color indexed="64"/>
      </top>
      <bottom style="thin">
        <color theme="4" tint="0.79998168889431442"/>
      </bottom>
      <diagonal/>
    </border>
    <border>
      <left style="thin">
        <color theme="4" tint="0.79998168889431442"/>
      </left>
      <right style="thin">
        <color theme="4" tint="0.79998168889431442"/>
      </right>
      <top style="thin">
        <color indexed="64"/>
      </top>
      <bottom style="thin">
        <color theme="4" tint="0.79998168889431442"/>
      </bottom>
      <diagonal/>
    </border>
    <border>
      <left style="thin">
        <color theme="4" tint="0.79998168889431442"/>
      </left>
      <right style="thin">
        <color indexed="64"/>
      </right>
      <top style="thin">
        <color indexed="64"/>
      </top>
      <bottom style="thin">
        <color theme="4" tint="0.79998168889431442"/>
      </bottom>
      <diagonal/>
    </border>
    <border>
      <left style="thin">
        <color indexed="64"/>
      </left>
      <right style="thin">
        <color theme="4" tint="0.79998168889431442"/>
      </right>
      <top style="thin">
        <color theme="4" tint="0.79998168889431442"/>
      </top>
      <bottom style="thin">
        <color theme="4" tint="0.79998168889431442"/>
      </bottom>
      <diagonal/>
    </border>
    <border>
      <left style="thin">
        <color theme="4" tint="0.79998168889431442"/>
      </left>
      <right style="thin">
        <color indexed="64"/>
      </right>
      <top style="thin">
        <color theme="4" tint="0.79998168889431442"/>
      </top>
      <bottom style="thin">
        <color theme="4" tint="0.79998168889431442"/>
      </bottom>
      <diagonal/>
    </border>
    <border>
      <left style="thin">
        <color indexed="64"/>
      </left>
      <right style="thin">
        <color theme="4" tint="0.79998168889431442"/>
      </right>
      <top style="thin">
        <color theme="4" tint="0.79998168889431442"/>
      </top>
      <bottom style="mediumDashed">
        <color theme="1"/>
      </bottom>
      <diagonal/>
    </border>
    <border>
      <left style="thin">
        <color theme="4" tint="0.79998168889431442"/>
      </left>
      <right style="thin">
        <color indexed="64"/>
      </right>
      <top style="thin">
        <color theme="4" tint="0.79998168889431442"/>
      </top>
      <bottom style="mediumDashed">
        <color theme="1"/>
      </bottom>
      <diagonal/>
    </border>
    <border>
      <left style="thin">
        <color indexed="64"/>
      </left>
      <right style="thin">
        <color theme="4" tint="0.79998168889431442"/>
      </right>
      <top/>
      <bottom style="thin">
        <color theme="4" tint="0.79998168889431442"/>
      </bottom>
      <diagonal/>
    </border>
    <border>
      <left style="thin">
        <color theme="4" tint="0.79998168889431442"/>
      </left>
      <right style="thin">
        <color indexed="64"/>
      </right>
      <top/>
      <bottom style="thin">
        <color theme="4" tint="0.79998168889431442"/>
      </bottom>
      <diagonal/>
    </border>
    <border>
      <left style="thin">
        <color indexed="64"/>
      </left>
      <right style="thin">
        <color theme="4" tint="0.79998168889431442"/>
      </right>
      <top style="thin">
        <color theme="4" tint="0.79998168889431442"/>
      </top>
      <bottom style="thin">
        <color indexed="64"/>
      </bottom>
      <diagonal/>
    </border>
    <border>
      <left style="thin">
        <color theme="4" tint="0.79998168889431442"/>
      </left>
      <right style="thin">
        <color theme="4" tint="0.79998168889431442"/>
      </right>
      <top style="thin">
        <color theme="4" tint="0.79998168889431442"/>
      </top>
      <bottom style="thin">
        <color indexed="64"/>
      </bottom>
      <diagonal/>
    </border>
    <border>
      <left style="thin">
        <color theme="4" tint="0.79998168889431442"/>
      </left>
      <right style="thin">
        <color indexed="64"/>
      </right>
      <top style="thin">
        <color theme="4" tint="0.79998168889431442"/>
      </top>
      <bottom style="thin">
        <color indexed="64"/>
      </bottom>
      <diagonal/>
    </border>
    <border>
      <left/>
      <right style="thin">
        <color theme="4" tint="0.79998168889431442"/>
      </right>
      <top style="thin">
        <color indexed="64"/>
      </top>
      <bottom style="thin">
        <color theme="4" tint="0.79998168889431442"/>
      </bottom>
      <diagonal/>
    </border>
    <border>
      <left style="thin">
        <color theme="4" tint="0.79998168889431442"/>
      </left>
      <right/>
      <top style="thin">
        <color indexed="64"/>
      </top>
      <bottom style="thin">
        <color theme="4" tint="0.79998168889431442"/>
      </bottom>
      <diagonal/>
    </border>
    <border>
      <left style="thin">
        <color theme="4" tint="0.79998168889431442"/>
      </left>
      <right/>
      <top style="thin">
        <color theme="4" tint="0.79998168889431442"/>
      </top>
      <bottom style="thin">
        <color indexed="64"/>
      </bottom>
      <diagonal/>
    </border>
    <border>
      <left/>
      <right style="thin">
        <color theme="4" tint="0.79998168889431442"/>
      </right>
      <top style="thin">
        <color theme="4" tint="0.79998168889431442"/>
      </top>
      <bottom style="thin">
        <color indexed="64"/>
      </bottom>
      <diagonal/>
    </border>
    <border>
      <left style="medium">
        <color indexed="64"/>
      </left>
      <right style="thin">
        <color indexed="64"/>
      </right>
      <top/>
      <bottom style="thin">
        <color indexed="64"/>
      </bottom>
      <diagonal/>
    </border>
    <border>
      <left style="medium">
        <color rgb="FFC00000"/>
      </left>
      <right style="medium">
        <color rgb="FFC00000"/>
      </right>
      <top style="medium">
        <color rgb="FFC00000"/>
      </top>
      <bottom style="medium">
        <color rgb="FFC00000"/>
      </bottom>
      <diagonal/>
    </border>
  </borders>
  <cellStyleXfs count="9">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3" fillId="0" borderId="0" applyFont="0" applyFill="0" applyBorder="0" applyAlignment="0" applyProtection="0"/>
  </cellStyleXfs>
  <cellXfs count="823">
    <xf numFmtId="0" fontId="0" fillId="0" borderId="0" xfId="0"/>
    <xf numFmtId="0" fontId="2" fillId="0" borderId="0" xfId="0" applyFont="1" applyAlignment="1" applyProtection="1">
      <alignment horizontal="left" vertical="center"/>
      <protection hidden="1"/>
    </xf>
    <xf numFmtId="0" fontId="2" fillId="0" borderId="0" xfId="0" applyFont="1" applyProtection="1">
      <protection hidden="1"/>
    </xf>
    <xf numFmtId="0" fontId="26" fillId="0" borderId="0" xfId="0" applyFont="1" applyBorder="1" applyAlignment="1" applyProtection="1">
      <alignment vertical="top"/>
      <protection hidden="1"/>
    </xf>
    <xf numFmtId="0" fontId="2" fillId="0" borderId="59" xfId="0" applyFont="1" applyBorder="1" applyProtection="1">
      <protection hidden="1"/>
    </xf>
    <xf numFmtId="164" fontId="2" fillId="0" borderId="59" xfId="0" applyNumberFormat="1" applyFont="1" applyBorder="1" applyAlignment="1" applyProtection="1">
      <alignment horizontal="right"/>
      <protection hidden="1"/>
    </xf>
    <xf numFmtId="0" fontId="2" fillId="0" borderId="60" xfId="0" applyFont="1" applyBorder="1" applyProtection="1">
      <protection hidden="1"/>
    </xf>
    <xf numFmtId="0" fontId="30" fillId="0" borderId="60" xfId="0" applyFont="1" applyBorder="1" applyProtection="1">
      <protection hidden="1"/>
    </xf>
    <xf numFmtId="164" fontId="31" fillId="0" borderId="60" xfId="0" applyNumberFormat="1" applyFont="1" applyBorder="1" applyAlignment="1" applyProtection="1">
      <alignment horizontal="right"/>
      <protection hidden="1"/>
    </xf>
    <xf numFmtId="0" fontId="0" fillId="0" borderId="60" xfId="0" applyFont="1" applyBorder="1" applyProtection="1">
      <protection hidden="1"/>
    </xf>
    <xf numFmtId="164" fontId="0" fillId="0" borderId="60" xfId="0" applyNumberFormat="1" applyFont="1" applyBorder="1" applyAlignment="1" applyProtection="1">
      <alignment horizontal="right"/>
      <protection hidden="1"/>
    </xf>
    <xf numFmtId="0" fontId="30" fillId="0" borderId="0" xfId="0" applyFont="1" applyBorder="1" applyProtection="1">
      <protection hidden="1"/>
    </xf>
    <xf numFmtId="164" fontId="31" fillId="0" borderId="0" xfId="0" applyNumberFormat="1" applyFont="1" applyBorder="1" applyAlignment="1" applyProtection="1">
      <alignment horizontal="right"/>
      <protection hidden="1"/>
    </xf>
    <xf numFmtId="0" fontId="28" fillId="0" borderId="59" xfId="0" applyFont="1" applyBorder="1" applyProtection="1">
      <protection hidden="1"/>
    </xf>
    <xf numFmtId="164" fontId="25" fillId="0" borderId="59" xfId="0" applyNumberFormat="1" applyFont="1" applyBorder="1" applyAlignment="1" applyProtection="1">
      <alignment horizontal="right"/>
      <protection hidden="1"/>
    </xf>
    <xf numFmtId="0" fontId="0" fillId="0" borderId="59" xfId="0" applyFont="1" applyBorder="1" applyProtection="1">
      <protection hidden="1"/>
    </xf>
    <xf numFmtId="0" fontId="31" fillId="0" borderId="59" xfId="0" applyFont="1" applyBorder="1" applyProtection="1">
      <protection hidden="1"/>
    </xf>
    <xf numFmtId="164" fontId="31" fillId="0" borderId="59" xfId="0" applyNumberFormat="1" applyFont="1" applyBorder="1" applyAlignment="1" applyProtection="1">
      <alignment horizontal="right"/>
      <protection hidden="1"/>
    </xf>
    <xf numFmtId="170" fontId="0" fillId="0" borderId="59" xfId="1" applyNumberFormat="1" applyFont="1" applyBorder="1" applyAlignment="1" applyProtection="1">
      <alignment horizontal="right"/>
      <protection hidden="1"/>
    </xf>
    <xf numFmtId="0" fontId="0" fillId="0" borderId="0" xfId="0" applyFont="1" applyBorder="1" applyProtection="1">
      <protection hidden="1"/>
    </xf>
    <xf numFmtId="9" fontId="0" fillId="0" borderId="0" xfId="1" applyFont="1" applyBorder="1" applyAlignment="1" applyProtection="1">
      <alignment horizontal="right"/>
      <protection hidden="1"/>
    </xf>
    <xf numFmtId="0" fontId="25" fillId="0" borderId="59" xfId="0" applyFont="1" applyBorder="1" applyProtection="1">
      <protection hidden="1"/>
    </xf>
    <xf numFmtId="164" fontId="0" fillId="0" borderId="0" xfId="6" applyNumberFormat="1" applyFont="1" applyBorder="1" applyAlignment="1" applyProtection="1">
      <alignment horizontal="right"/>
      <protection hidden="1"/>
    </xf>
    <xf numFmtId="0" fontId="23" fillId="0" borderId="0" xfId="0" applyFont="1" applyAlignment="1" applyProtection="1">
      <alignment vertical="top"/>
      <protection hidden="1"/>
    </xf>
    <xf numFmtId="0" fontId="2" fillId="0" borderId="0" xfId="0" applyFont="1" applyBorder="1" applyAlignment="1" applyProtection="1">
      <alignment horizontal="center"/>
      <protection hidden="1"/>
    </xf>
    <xf numFmtId="0" fontId="23" fillId="0" borderId="0" xfId="0" applyFont="1" applyBorder="1" applyAlignment="1" applyProtection="1">
      <alignment vertical="top"/>
      <protection hidden="1"/>
    </xf>
    <xf numFmtId="0" fontId="14" fillId="0" borderId="0" xfId="0" applyFont="1" applyAlignment="1" applyProtection="1">
      <alignment vertical="top" wrapText="1"/>
      <protection hidden="1"/>
    </xf>
    <xf numFmtId="0" fontId="32" fillId="0" borderId="0" xfId="0" applyFont="1" applyBorder="1" applyAlignment="1" applyProtection="1">
      <alignment horizontal="center" vertical="center" wrapText="1"/>
      <protection hidden="1"/>
    </xf>
    <xf numFmtId="0" fontId="32" fillId="0" borderId="0" xfId="0" applyFont="1" applyBorder="1" applyAlignment="1" applyProtection="1">
      <alignment horizontal="center" vertical="center"/>
      <protection hidden="1"/>
    </xf>
    <xf numFmtId="0" fontId="3" fillId="0" borderId="0" xfId="2" applyProtection="1">
      <protection hidden="1"/>
    </xf>
    <xf numFmtId="0" fontId="3" fillId="0" borderId="0" xfId="2" applyAlignment="1" applyProtection="1">
      <alignment horizontal="center"/>
      <protection hidden="1"/>
    </xf>
    <xf numFmtId="0" fontId="3" fillId="0" borderId="0" xfId="2" applyAlignment="1" applyProtection="1">
      <alignment horizontal="center" vertical="center"/>
      <protection hidden="1"/>
    </xf>
    <xf numFmtId="0" fontId="4" fillId="0" borderId="0" xfId="2" applyFont="1" applyAlignment="1" applyProtection="1">
      <alignment horizontal="left"/>
      <protection hidden="1"/>
    </xf>
    <xf numFmtId="0" fontId="4" fillId="0" borderId="0" xfId="2" applyFont="1" applyProtection="1">
      <protection hidden="1"/>
    </xf>
    <xf numFmtId="164" fontId="4" fillId="0" borderId="0" xfId="2" applyNumberFormat="1" applyFont="1" applyProtection="1">
      <protection hidden="1"/>
    </xf>
    <xf numFmtId="0" fontId="5" fillId="0" borderId="0" xfId="2" applyNumberFormat="1" applyFont="1" applyFill="1" applyBorder="1" applyAlignment="1" applyProtection="1">
      <alignment horizontal="left"/>
      <protection hidden="1"/>
    </xf>
    <xf numFmtId="0" fontId="6" fillId="0" borderId="0" xfId="2" applyNumberFormat="1" applyFont="1" applyFill="1" applyBorder="1" applyAlignment="1" applyProtection="1">
      <protection hidden="1"/>
    </xf>
    <xf numFmtId="0" fontId="4" fillId="0" borderId="0" xfId="2" applyNumberFormat="1" applyFont="1" applyFill="1" applyBorder="1" applyAlignment="1" applyProtection="1">
      <protection hidden="1"/>
    </xf>
    <xf numFmtId="164" fontId="4" fillId="0" borderId="0" xfId="2" applyNumberFormat="1" applyFont="1" applyFill="1" applyBorder="1" applyAlignment="1" applyProtection="1">
      <protection hidden="1"/>
    </xf>
    <xf numFmtId="0" fontId="6" fillId="0" borderId="0" xfId="2" applyFont="1" applyProtection="1">
      <protection hidden="1"/>
    </xf>
    <xf numFmtId="0" fontId="6" fillId="0" borderId="0" xfId="2" applyFont="1" applyFill="1" applyBorder="1" applyAlignment="1" applyProtection="1">
      <alignment horizontal="center"/>
      <protection hidden="1"/>
    </xf>
    <xf numFmtId="0" fontId="4" fillId="0" borderId="0" xfId="2" applyFont="1" applyFill="1" applyBorder="1" applyAlignment="1" applyProtection="1">
      <alignment horizontal="center"/>
      <protection hidden="1"/>
    </xf>
    <xf numFmtId="0" fontId="4" fillId="0" borderId="0" xfId="2" applyFont="1" applyBorder="1" applyAlignment="1" applyProtection="1">
      <protection hidden="1"/>
    </xf>
    <xf numFmtId="0" fontId="1" fillId="0" borderId="0" xfId="4" applyFont="1" applyBorder="1" applyAlignment="1" applyProtection="1">
      <alignment horizontal="center" wrapText="1"/>
      <protection hidden="1"/>
    </xf>
    <xf numFmtId="0" fontId="9" fillId="0" borderId="0" xfId="4" applyNumberFormat="1" applyFont="1" applyFill="1" applyBorder="1" applyAlignment="1" applyProtection="1">
      <alignment horizontal="center" wrapText="1"/>
      <protection hidden="1"/>
    </xf>
    <xf numFmtId="0" fontId="1" fillId="0" borderId="0" xfId="4" applyBorder="1" applyAlignment="1" applyProtection="1">
      <alignment horizontal="center"/>
      <protection hidden="1"/>
    </xf>
    <xf numFmtId="1" fontId="18" fillId="0" borderId="0" xfId="4" applyNumberFormat="1" applyFont="1" applyBorder="1" applyAlignment="1" applyProtection="1">
      <alignment horizontal="center"/>
      <protection hidden="1"/>
    </xf>
    <xf numFmtId="0" fontId="7" fillId="0" borderId="0" xfId="2" applyFont="1" applyAlignment="1" applyProtection="1">
      <alignment horizontal="center" textRotation="90" wrapText="1"/>
      <protection hidden="1"/>
    </xf>
    <xf numFmtId="0" fontId="1" fillId="0" borderId="0" xfId="4" applyFont="1" applyBorder="1" applyAlignment="1" applyProtection="1">
      <alignment horizontal="center" vertical="center" wrapText="1"/>
      <protection hidden="1"/>
    </xf>
    <xf numFmtId="165" fontId="7" fillId="0" borderId="30" xfId="4" applyNumberFormat="1" applyFont="1" applyFill="1" applyBorder="1" applyAlignment="1" applyProtection="1">
      <alignment horizontal="center" textRotation="90"/>
      <protection hidden="1"/>
    </xf>
    <xf numFmtId="0" fontId="1" fillId="0" borderId="0" xfId="4" applyFont="1" applyBorder="1" applyAlignment="1" applyProtection="1">
      <alignment horizontal="center" textRotation="90" wrapText="1"/>
      <protection hidden="1"/>
    </xf>
    <xf numFmtId="0" fontId="1" fillId="0" borderId="0" xfId="4" applyBorder="1" applyAlignment="1" applyProtection="1">
      <alignment horizontal="center" textRotation="90"/>
      <protection hidden="1"/>
    </xf>
    <xf numFmtId="1" fontId="18" fillId="0" borderId="0" xfId="4" applyNumberFormat="1" applyFont="1" applyBorder="1" applyAlignment="1" applyProtection="1">
      <alignment horizontal="center" textRotation="90"/>
      <protection hidden="1"/>
    </xf>
    <xf numFmtId="169" fontId="18" fillId="0" borderId="0" xfId="4" applyNumberFormat="1" applyFont="1" applyFill="1" applyBorder="1" applyAlignment="1" applyProtection="1">
      <alignment horizontal="center" textRotation="90"/>
      <protection hidden="1"/>
    </xf>
    <xf numFmtId="164" fontId="3" fillId="0" borderId="0" xfId="2" applyNumberFormat="1" applyProtection="1">
      <protection hidden="1"/>
    </xf>
    <xf numFmtId="165" fontId="19" fillId="0" borderId="0" xfId="4" applyNumberFormat="1" applyFont="1" applyAlignment="1" applyProtection="1">
      <alignment horizontal="center" vertical="center"/>
      <protection hidden="1"/>
    </xf>
    <xf numFmtId="20" fontId="20" fillId="0" borderId="0" xfId="4" applyNumberFormat="1" applyFont="1" applyAlignment="1" applyProtection="1">
      <alignment horizontal="center" vertical="center"/>
      <protection hidden="1"/>
    </xf>
    <xf numFmtId="164" fontId="1" fillId="0" borderId="31" xfId="4" applyNumberFormat="1" applyFill="1" applyBorder="1" applyAlignment="1" applyProtection="1">
      <alignment horizontal="center"/>
      <protection hidden="1"/>
    </xf>
    <xf numFmtId="164" fontId="1" fillId="0" borderId="32" xfId="4" applyNumberFormat="1" applyFill="1" applyBorder="1" applyAlignment="1" applyProtection="1">
      <alignment horizontal="center"/>
      <protection hidden="1"/>
    </xf>
    <xf numFmtId="164" fontId="1" fillId="0" borderId="33" xfId="4" applyNumberFormat="1" applyFill="1" applyBorder="1" applyAlignment="1" applyProtection="1">
      <alignment horizontal="center"/>
      <protection hidden="1"/>
    </xf>
    <xf numFmtId="0" fontId="1" fillId="0" borderId="31" xfId="4" applyFill="1" applyBorder="1" applyAlignment="1" applyProtection="1">
      <alignment horizontal="center"/>
      <protection hidden="1"/>
    </xf>
    <xf numFmtId="0" fontId="1" fillId="0" borderId="32" xfId="4" applyFill="1" applyBorder="1" applyAlignment="1" applyProtection="1">
      <alignment horizontal="center"/>
      <protection hidden="1"/>
    </xf>
    <xf numFmtId="0" fontId="1" fillId="0" borderId="33" xfId="4" applyFill="1" applyBorder="1" applyAlignment="1" applyProtection="1">
      <alignment horizontal="center"/>
      <protection hidden="1"/>
    </xf>
    <xf numFmtId="0" fontId="1" fillId="0" borderId="0" xfId="4" applyFill="1" applyBorder="1" applyAlignment="1" applyProtection="1">
      <alignment horizontal="center"/>
      <protection hidden="1"/>
    </xf>
    <xf numFmtId="20" fontId="20" fillId="0" borderId="0" xfId="4" applyNumberFormat="1" applyFont="1" applyFill="1" applyAlignment="1" applyProtection="1">
      <alignment horizontal="center" vertical="center"/>
      <protection hidden="1"/>
    </xf>
    <xf numFmtId="0" fontId="3" fillId="0" borderId="0" xfId="2" applyFill="1" applyProtection="1">
      <protection hidden="1"/>
    </xf>
    <xf numFmtId="164" fontId="1" fillId="0" borderId="0" xfId="4" applyNumberFormat="1" applyFill="1" applyProtection="1">
      <protection hidden="1"/>
    </xf>
    <xf numFmtId="164" fontId="1" fillId="0" borderId="34" xfId="4" applyNumberFormat="1" applyFill="1" applyBorder="1" applyAlignment="1" applyProtection="1">
      <alignment horizontal="center"/>
      <protection hidden="1"/>
    </xf>
    <xf numFmtId="164" fontId="1" fillId="0" borderId="21" xfId="4" applyNumberFormat="1" applyFill="1" applyBorder="1" applyAlignment="1" applyProtection="1">
      <alignment horizontal="center"/>
      <protection hidden="1"/>
    </xf>
    <xf numFmtId="164" fontId="1" fillId="0" borderId="35" xfId="4" applyNumberFormat="1" applyFill="1" applyBorder="1" applyAlignment="1" applyProtection="1">
      <alignment horizontal="center"/>
      <protection hidden="1"/>
    </xf>
    <xf numFmtId="0" fontId="1" fillId="0" borderId="34" xfId="4" applyFill="1" applyBorder="1" applyAlignment="1" applyProtection="1">
      <alignment horizontal="center"/>
      <protection hidden="1"/>
    </xf>
    <xf numFmtId="0" fontId="1" fillId="0" borderId="21" xfId="4" applyFill="1" applyBorder="1" applyAlignment="1" applyProtection="1">
      <alignment horizontal="center"/>
      <protection hidden="1"/>
    </xf>
    <xf numFmtId="0" fontId="1" fillId="0" borderId="35" xfId="4" applyFill="1" applyBorder="1" applyAlignment="1" applyProtection="1">
      <alignment horizontal="center"/>
      <protection hidden="1"/>
    </xf>
    <xf numFmtId="164" fontId="1" fillId="0" borderId="36" xfId="4" applyNumberFormat="1" applyFill="1" applyBorder="1" applyAlignment="1" applyProtection="1">
      <alignment horizontal="center"/>
      <protection hidden="1"/>
    </xf>
    <xf numFmtId="164" fontId="1" fillId="0" borderId="20" xfId="4" applyNumberFormat="1" applyFill="1" applyBorder="1" applyAlignment="1" applyProtection="1">
      <alignment horizontal="center"/>
      <protection hidden="1"/>
    </xf>
    <xf numFmtId="164" fontId="1" fillId="0" borderId="37" xfId="4" applyNumberFormat="1" applyFill="1" applyBorder="1" applyAlignment="1" applyProtection="1">
      <alignment horizontal="center"/>
      <protection hidden="1"/>
    </xf>
    <xf numFmtId="0" fontId="1" fillId="0" borderId="36" xfId="4" applyFill="1" applyBorder="1" applyAlignment="1" applyProtection="1">
      <alignment horizontal="center"/>
      <protection hidden="1"/>
    </xf>
    <xf numFmtId="0" fontId="1" fillId="0" borderId="20" xfId="4" applyFill="1" applyBorder="1" applyAlignment="1" applyProtection="1">
      <alignment horizontal="center"/>
      <protection hidden="1"/>
    </xf>
    <xf numFmtId="0" fontId="1" fillId="0" borderId="37" xfId="4" applyFill="1" applyBorder="1" applyAlignment="1" applyProtection="1">
      <alignment horizontal="center"/>
      <protection hidden="1"/>
    </xf>
    <xf numFmtId="164" fontId="1" fillId="0" borderId="38" xfId="4" applyNumberFormat="1" applyFill="1" applyBorder="1" applyAlignment="1" applyProtection="1">
      <alignment horizontal="center"/>
      <protection hidden="1"/>
    </xf>
    <xf numFmtId="164" fontId="1" fillId="0" borderId="39" xfId="4" applyNumberFormat="1" applyFill="1" applyBorder="1" applyAlignment="1" applyProtection="1">
      <alignment horizontal="center"/>
      <protection hidden="1"/>
    </xf>
    <xf numFmtId="164" fontId="1" fillId="0" borderId="40" xfId="4" applyNumberFormat="1" applyFill="1" applyBorder="1" applyAlignment="1" applyProtection="1">
      <alignment horizontal="center"/>
      <protection hidden="1"/>
    </xf>
    <xf numFmtId="0" fontId="1" fillId="0" borderId="38" xfId="4" applyFill="1" applyBorder="1" applyAlignment="1" applyProtection="1">
      <alignment horizontal="center"/>
      <protection hidden="1"/>
    </xf>
    <xf numFmtId="0" fontId="1" fillId="0" borderId="39" xfId="4" applyFill="1" applyBorder="1" applyAlignment="1" applyProtection="1">
      <alignment horizontal="center"/>
      <protection hidden="1"/>
    </xf>
    <xf numFmtId="0" fontId="1" fillId="0" borderId="40" xfId="4" applyFill="1" applyBorder="1" applyAlignment="1" applyProtection="1">
      <alignment horizontal="center"/>
      <protection hidden="1"/>
    </xf>
    <xf numFmtId="164" fontId="1" fillId="0" borderId="41" xfId="4" applyNumberFormat="1" applyFill="1" applyBorder="1" applyAlignment="1" applyProtection="1">
      <alignment horizontal="center"/>
      <protection hidden="1"/>
    </xf>
    <xf numFmtId="164" fontId="1" fillId="0" borderId="42" xfId="4" applyNumberFormat="1" applyFill="1" applyBorder="1" applyAlignment="1" applyProtection="1">
      <alignment horizontal="center"/>
      <protection hidden="1"/>
    </xf>
    <xf numFmtId="164" fontId="1" fillId="0" borderId="43" xfId="4" applyNumberFormat="1" applyFill="1" applyBorder="1" applyAlignment="1" applyProtection="1">
      <alignment horizontal="center"/>
      <protection hidden="1"/>
    </xf>
    <xf numFmtId="0" fontId="1" fillId="0" borderId="41" xfId="4" applyFill="1" applyBorder="1" applyAlignment="1" applyProtection="1">
      <alignment horizontal="center"/>
      <protection hidden="1"/>
    </xf>
    <xf numFmtId="0" fontId="1" fillId="0" borderId="42" xfId="4" applyFill="1" applyBorder="1" applyAlignment="1" applyProtection="1">
      <alignment horizontal="center"/>
      <protection hidden="1"/>
    </xf>
    <xf numFmtId="0" fontId="1" fillId="0" borderId="43" xfId="4" applyFill="1" applyBorder="1" applyAlignment="1" applyProtection="1">
      <alignment horizontal="center"/>
      <protection hidden="1"/>
    </xf>
    <xf numFmtId="20" fontId="21" fillId="0" borderId="0" xfId="4" applyNumberFormat="1" applyFont="1" applyAlignment="1" applyProtection="1">
      <alignment horizontal="right" vertical="center"/>
      <protection hidden="1"/>
    </xf>
    <xf numFmtId="1" fontId="1" fillId="0" borderId="0" xfId="4" applyNumberFormat="1" applyBorder="1" applyAlignment="1" applyProtection="1">
      <alignment horizontal="center"/>
      <protection hidden="1"/>
    </xf>
    <xf numFmtId="2" fontId="1" fillId="0" borderId="0" xfId="4" applyNumberFormat="1" applyBorder="1" applyAlignment="1" applyProtection="1">
      <alignment horizontal="center"/>
      <protection hidden="1"/>
    </xf>
    <xf numFmtId="0" fontId="2" fillId="0" borderId="0" xfId="4" applyFont="1" applyAlignment="1" applyProtection="1">
      <alignment horizontal="right" vertical="center"/>
      <protection hidden="1"/>
    </xf>
    <xf numFmtId="0" fontId="1" fillId="0" borderId="0" xfId="4" applyAlignment="1" applyProtection="1">
      <alignment horizontal="center"/>
      <protection hidden="1"/>
    </xf>
    <xf numFmtId="0" fontId="27" fillId="0" borderId="0" xfId="4" applyFont="1" applyAlignment="1" applyProtection="1">
      <alignment horizontal="left" vertical="top"/>
      <protection hidden="1"/>
    </xf>
    <xf numFmtId="164" fontId="1" fillId="0" borderId="0" xfId="4" applyNumberFormat="1" applyAlignment="1" applyProtection="1">
      <alignment horizontal="center"/>
      <protection hidden="1"/>
    </xf>
    <xf numFmtId="0" fontId="1" fillId="0" borderId="0" xfId="4" applyProtection="1">
      <protection hidden="1"/>
    </xf>
    <xf numFmtId="164" fontId="16" fillId="0" borderId="0" xfId="2" applyNumberFormat="1" applyFont="1" applyProtection="1">
      <protection hidden="1"/>
    </xf>
    <xf numFmtId="0" fontId="1" fillId="0" borderId="0" xfId="4" applyAlignment="1" applyProtection="1">
      <alignment horizontal="center" vertical="top"/>
      <protection hidden="1"/>
    </xf>
    <xf numFmtId="164" fontId="1" fillId="0" borderId="0" xfId="4" applyNumberFormat="1" applyAlignment="1" applyProtection="1">
      <alignment horizontal="center" vertical="top"/>
      <protection hidden="1"/>
    </xf>
    <xf numFmtId="0" fontId="1" fillId="0" borderId="0" xfId="4" applyAlignment="1" applyProtection="1">
      <alignment vertical="top"/>
      <protection hidden="1"/>
    </xf>
    <xf numFmtId="0" fontId="24" fillId="0" borderId="0" xfId="2" applyFont="1" applyAlignment="1" applyProtection="1">
      <alignment horizontal="center"/>
      <protection hidden="1"/>
    </xf>
    <xf numFmtId="0" fontId="8" fillId="0" borderId="0" xfId="2" applyFont="1" applyAlignment="1" applyProtection="1">
      <alignment horizontal="center" vertical="center"/>
      <protection hidden="1"/>
    </xf>
    <xf numFmtId="1" fontId="3" fillId="0" borderId="0" xfId="2" applyNumberFormat="1" applyAlignment="1" applyProtection="1">
      <alignment horizontal="center"/>
      <protection hidden="1"/>
    </xf>
    <xf numFmtId="1" fontId="24" fillId="0" borderId="20" xfId="2" applyNumberFormat="1" applyFont="1" applyBorder="1" applyAlignment="1" applyProtection="1">
      <alignment horizontal="center" vertical="center"/>
      <protection hidden="1"/>
    </xf>
    <xf numFmtId="1" fontId="24" fillId="0" borderId="44" xfId="2" applyNumberFormat="1" applyFont="1" applyBorder="1" applyAlignment="1" applyProtection="1">
      <alignment horizontal="center" vertical="center"/>
      <protection hidden="1"/>
    </xf>
    <xf numFmtId="1" fontId="24" fillId="0" borderId="32" xfId="2" applyNumberFormat="1" applyFont="1" applyBorder="1" applyAlignment="1" applyProtection="1">
      <alignment horizontal="center" vertical="center"/>
      <protection hidden="1"/>
    </xf>
    <xf numFmtId="1" fontId="24" fillId="0" borderId="4" xfId="2" applyNumberFormat="1" applyFont="1" applyBorder="1" applyAlignment="1" applyProtection="1">
      <alignment horizontal="center" vertical="center"/>
      <protection hidden="1"/>
    </xf>
    <xf numFmtId="1" fontId="24" fillId="0" borderId="3" xfId="2" applyNumberFormat="1" applyFont="1" applyBorder="1" applyAlignment="1" applyProtection="1">
      <alignment horizontal="center" vertical="center"/>
      <protection hidden="1"/>
    </xf>
    <xf numFmtId="164" fontId="24" fillId="0" borderId="44" xfId="2" applyNumberFormat="1" applyFont="1" applyBorder="1" applyAlignment="1" applyProtection="1">
      <alignment horizontal="center" vertical="center"/>
      <protection hidden="1"/>
    </xf>
    <xf numFmtId="164" fontId="24" fillId="0" borderId="32" xfId="2" applyNumberFormat="1" applyFont="1" applyBorder="1" applyAlignment="1" applyProtection="1">
      <alignment horizontal="center" vertical="center"/>
      <protection hidden="1"/>
    </xf>
    <xf numFmtId="164" fontId="24" fillId="0" borderId="4" xfId="2" applyNumberFormat="1" applyFont="1" applyBorder="1" applyAlignment="1" applyProtection="1">
      <alignment horizontal="center" vertical="center"/>
      <protection hidden="1"/>
    </xf>
    <xf numFmtId="164" fontId="24" fillId="0" borderId="3" xfId="2" applyNumberFormat="1" applyFont="1" applyBorder="1" applyAlignment="1" applyProtection="1">
      <alignment horizontal="center" vertical="center"/>
      <protection hidden="1"/>
    </xf>
    <xf numFmtId="164" fontId="24" fillId="0" borderId="0" xfId="2" applyNumberFormat="1" applyFont="1" applyBorder="1" applyAlignment="1" applyProtection="1">
      <alignment horizontal="center" vertical="center"/>
      <protection hidden="1"/>
    </xf>
    <xf numFmtId="1" fontId="24" fillId="0" borderId="21" xfId="2" applyNumberFormat="1" applyFont="1" applyBorder="1" applyAlignment="1" applyProtection="1">
      <alignment horizontal="center" vertical="center"/>
      <protection hidden="1"/>
    </xf>
    <xf numFmtId="1" fontId="24" fillId="0" borderId="2" xfId="2" applyNumberFormat="1" applyFont="1" applyBorder="1" applyAlignment="1" applyProtection="1">
      <alignment horizontal="center" vertical="center"/>
      <protection hidden="1"/>
    </xf>
    <xf numFmtId="1" fontId="24" fillId="0" borderId="0" xfId="2" applyNumberFormat="1" applyFont="1" applyBorder="1" applyAlignment="1" applyProtection="1">
      <alignment horizontal="center" vertical="center"/>
      <protection hidden="1"/>
    </xf>
    <xf numFmtId="1" fontId="24" fillId="0" borderId="5" xfId="2" applyNumberFormat="1" applyFont="1" applyBorder="1" applyAlignment="1" applyProtection="1">
      <alignment horizontal="center" vertical="center"/>
      <protection hidden="1"/>
    </xf>
    <xf numFmtId="164" fontId="24" fillId="0" borderId="2" xfId="2" applyNumberFormat="1" applyFont="1" applyBorder="1" applyAlignment="1" applyProtection="1">
      <alignment horizontal="center" vertical="center"/>
      <protection hidden="1"/>
    </xf>
    <xf numFmtId="164" fontId="24" fillId="0" borderId="21" xfId="2" applyNumberFormat="1" applyFont="1" applyBorder="1" applyAlignment="1" applyProtection="1">
      <alignment horizontal="center" vertical="center"/>
      <protection hidden="1"/>
    </xf>
    <xf numFmtId="164" fontId="24" fillId="0" borderId="5" xfId="2" applyNumberFormat="1" applyFont="1" applyBorder="1" applyAlignment="1" applyProtection="1">
      <alignment horizontal="center" vertical="center"/>
      <protection hidden="1"/>
    </xf>
    <xf numFmtId="1" fontId="24" fillId="0" borderId="45" xfId="2" applyNumberFormat="1" applyFont="1" applyBorder="1" applyAlignment="1" applyProtection="1">
      <alignment horizontal="center" vertical="center"/>
      <protection hidden="1"/>
    </xf>
    <xf numFmtId="1" fontId="24" fillId="0" borderId="28" xfId="2" applyNumberFormat="1" applyFont="1" applyBorder="1" applyAlignment="1" applyProtection="1">
      <alignment horizontal="center" vertical="center"/>
      <protection hidden="1"/>
    </xf>
    <xf numFmtId="1" fontId="24" fillId="0" borderId="46" xfId="2" applyNumberFormat="1" applyFont="1" applyBorder="1" applyAlignment="1" applyProtection="1">
      <alignment horizontal="center" vertical="center"/>
      <protection hidden="1"/>
    </xf>
    <xf numFmtId="164" fontId="24" fillId="0" borderId="45" xfId="2" applyNumberFormat="1" applyFont="1" applyBorder="1" applyAlignment="1" applyProtection="1">
      <alignment horizontal="center" vertical="center"/>
      <protection hidden="1"/>
    </xf>
    <xf numFmtId="164" fontId="24" fillId="0" borderId="20" xfId="2" applyNumberFormat="1" applyFont="1" applyBorder="1" applyAlignment="1" applyProtection="1">
      <alignment horizontal="center" vertical="center"/>
      <protection hidden="1"/>
    </xf>
    <xf numFmtId="164" fontId="24" fillId="0" borderId="28" xfId="2" applyNumberFormat="1" applyFont="1" applyBorder="1" applyAlignment="1" applyProtection="1">
      <alignment horizontal="center" vertical="center"/>
      <protection hidden="1"/>
    </xf>
    <xf numFmtId="164" fontId="24" fillId="0" borderId="46" xfId="2" applyNumberFormat="1" applyFont="1" applyBorder="1" applyAlignment="1" applyProtection="1">
      <alignment horizontal="center" vertical="center"/>
      <protection hidden="1"/>
    </xf>
    <xf numFmtId="1" fontId="24" fillId="0" borderId="47" xfId="2" applyNumberFormat="1" applyFont="1" applyBorder="1" applyAlignment="1" applyProtection="1">
      <alignment horizontal="center" vertical="center"/>
      <protection hidden="1"/>
    </xf>
    <xf numFmtId="1" fontId="24" fillId="0" borderId="22" xfId="2" applyNumberFormat="1" applyFont="1" applyBorder="1" applyAlignment="1" applyProtection="1">
      <alignment horizontal="center" vertical="center"/>
      <protection hidden="1"/>
    </xf>
    <xf numFmtId="1" fontId="24" fillId="0" borderId="29" xfId="2" applyNumberFormat="1" applyFont="1" applyBorder="1" applyAlignment="1" applyProtection="1">
      <alignment horizontal="center" vertical="center"/>
      <protection hidden="1"/>
    </xf>
    <xf numFmtId="1" fontId="24" fillId="0" borderId="48" xfId="2" applyNumberFormat="1" applyFont="1" applyBorder="1" applyAlignment="1" applyProtection="1">
      <alignment horizontal="center" vertical="center"/>
      <protection hidden="1"/>
    </xf>
    <xf numFmtId="164" fontId="24" fillId="0" borderId="47" xfId="2" applyNumberFormat="1" applyFont="1" applyBorder="1" applyAlignment="1" applyProtection="1">
      <alignment horizontal="center" vertical="center"/>
      <protection hidden="1"/>
    </xf>
    <xf numFmtId="164" fontId="24" fillId="0" borderId="22" xfId="2" applyNumberFormat="1" applyFont="1" applyBorder="1" applyAlignment="1" applyProtection="1">
      <alignment horizontal="center" vertical="center"/>
      <protection hidden="1"/>
    </xf>
    <xf numFmtId="164" fontId="24" fillId="0" borderId="29" xfId="2" applyNumberFormat="1" applyFont="1" applyBorder="1" applyAlignment="1" applyProtection="1">
      <alignment horizontal="center" vertical="center"/>
      <protection hidden="1"/>
    </xf>
    <xf numFmtId="164" fontId="24" fillId="0" borderId="48" xfId="2" applyNumberFormat="1" applyFont="1" applyBorder="1" applyAlignment="1" applyProtection="1">
      <alignment horizontal="center" vertical="center"/>
      <protection hidden="1"/>
    </xf>
    <xf numFmtId="1" fontId="24" fillId="0" borderId="7" xfId="2" applyNumberFormat="1" applyFont="1" applyBorder="1" applyAlignment="1" applyProtection="1">
      <alignment horizontal="center" vertical="center"/>
      <protection hidden="1"/>
    </xf>
    <xf numFmtId="1" fontId="24" fillId="0" borderId="42" xfId="2" applyNumberFormat="1" applyFont="1" applyBorder="1" applyAlignment="1" applyProtection="1">
      <alignment horizontal="center" vertical="center"/>
      <protection hidden="1"/>
    </xf>
    <xf numFmtId="1" fontId="24" fillId="0" borderId="1" xfId="2" applyNumberFormat="1" applyFont="1" applyBorder="1" applyAlignment="1" applyProtection="1">
      <alignment horizontal="center" vertical="center"/>
      <protection hidden="1"/>
    </xf>
    <xf numFmtId="1" fontId="24" fillId="0" borderId="8" xfId="2" applyNumberFormat="1" applyFont="1" applyBorder="1" applyAlignment="1" applyProtection="1">
      <alignment horizontal="center" vertical="center"/>
      <protection hidden="1"/>
    </xf>
    <xf numFmtId="164" fontId="24" fillId="0" borderId="7" xfId="2" applyNumberFormat="1" applyFont="1" applyBorder="1" applyAlignment="1" applyProtection="1">
      <alignment horizontal="center" vertical="center"/>
      <protection hidden="1"/>
    </xf>
    <xf numFmtId="164" fontId="24" fillId="0" borderId="42" xfId="2" applyNumberFormat="1" applyFont="1" applyBorder="1" applyAlignment="1" applyProtection="1">
      <alignment horizontal="center" vertical="center"/>
      <protection hidden="1"/>
    </xf>
    <xf numFmtId="164" fontId="24" fillId="0" borderId="1" xfId="2" applyNumberFormat="1" applyFont="1" applyBorder="1" applyAlignment="1" applyProtection="1">
      <alignment horizontal="center" vertical="center"/>
      <protection hidden="1"/>
    </xf>
    <xf numFmtId="164" fontId="24" fillId="0" borderId="8" xfId="2" applyNumberFormat="1" applyFont="1" applyBorder="1" applyAlignment="1" applyProtection="1">
      <alignment horizontal="center" vertical="center"/>
      <protection hidden="1"/>
    </xf>
    <xf numFmtId="1" fontId="21" fillId="0" borderId="30" xfId="2" applyNumberFormat="1" applyFont="1" applyBorder="1" applyAlignment="1" applyProtection="1">
      <alignment horizontal="center"/>
      <protection hidden="1"/>
    </xf>
    <xf numFmtId="1" fontId="16" fillId="0" borderId="0" xfId="2" applyNumberFormat="1" applyFont="1" applyAlignment="1" applyProtection="1">
      <alignment horizontal="left"/>
      <protection hidden="1"/>
    </xf>
    <xf numFmtId="1" fontId="3" fillId="0" borderId="0" xfId="1" applyNumberFormat="1" applyFont="1" applyAlignment="1" applyProtection="1">
      <alignment horizontal="center"/>
      <protection hidden="1"/>
    </xf>
    <xf numFmtId="0" fontId="3" fillId="0" borderId="0" xfId="2" applyFill="1" applyAlignment="1" applyProtection="1">
      <alignment horizontal="left"/>
      <protection hidden="1"/>
    </xf>
    <xf numFmtId="166" fontId="3" fillId="0" borderId="0" xfId="2" applyNumberFormat="1" applyFont="1" applyFill="1" applyAlignment="1" applyProtection="1">
      <alignment horizontal="left"/>
      <protection hidden="1"/>
    </xf>
    <xf numFmtId="164" fontId="3" fillId="0" borderId="0" xfId="2" applyNumberFormat="1" applyFill="1" applyProtection="1">
      <protection hidden="1"/>
    </xf>
    <xf numFmtId="0" fontId="3" fillId="0" borderId="0" xfId="2" applyAlignment="1" applyProtection="1">
      <alignment horizontal="left"/>
      <protection hidden="1"/>
    </xf>
    <xf numFmtId="0" fontId="3" fillId="0" borderId="0" xfId="2" applyAlignment="1" applyProtection="1">
      <alignment horizontal="right"/>
      <protection hidden="1"/>
    </xf>
    <xf numFmtId="164" fontId="34" fillId="0" borderId="0" xfId="2" applyNumberFormat="1" applyFont="1" applyProtection="1">
      <protection hidden="1"/>
    </xf>
    <xf numFmtId="0" fontId="9" fillId="0" borderId="0" xfId="2" applyFont="1" applyAlignment="1" applyProtection="1">
      <alignment horizontal="left"/>
      <protection hidden="1"/>
    </xf>
    <xf numFmtId="0" fontId="10" fillId="0" borderId="11" xfId="0" applyFont="1" applyBorder="1" applyAlignment="1" applyProtection="1">
      <alignment horizontal="center" vertical="center"/>
      <protection hidden="1"/>
    </xf>
    <xf numFmtId="0" fontId="10" fillId="0" borderId="14" xfId="2" applyFont="1" applyBorder="1" applyAlignment="1" applyProtection="1">
      <alignment horizontal="center" vertical="center"/>
      <protection hidden="1"/>
    </xf>
    <xf numFmtId="167" fontId="10" fillId="0" borderId="14" xfId="2" applyNumberFormat="1" applyFont="1" applyBorder="1" applyAlignment="1" applyProtection="1">
      <alignment horizontal="center" vertical="center"/>
      <protection hidden="1"/>
    </xf>
    <xf numFmtId="0" fontId="10" fillId="0" borderId="14" xfId="2" applyNumberFormat="1" applyFont="1" applyFill="1" applyBorder="1" applyAlignment="1" applyProtection="1">
      <alignment horizontal="center" vertical="center"/>
      <protection hidden="1"/>
    </xf>
    <xf numFmtId="0" fontId="10" fillId="0" borderId="14" xfId="2" applyNumberFormat="1" applyFont="1" applyBorder="1" applyAlignment="1" applyProtection="1">
      <alignment horizontal="center" vertical="center"/>
      <protection hidden="1"/>
    </xf>
    <xf numFmtId="9" fontId="13" fillId="0" borderId="0" xfId="1" applyFont="1" applyBorder="1" applyAlignment="1" applyProtection="1">
      <alignment horizontal="left"/>
      <protection hidden="1"/>
    </xf>
    <xf numFmtId="0" fontId="9" fillId="0" borderId="0" xfId="2" applyNumberFormat="1" applyFont="1" applyFill="1" applyBorder="1" applyAlignment="1" applyProtection="1">
      <alignment horizontal="left"/>
      <protection hidden="1"/>
    </xf>
    <xf numFmtId="0" fontId="14" fillId="0" borderId="0" xfId="2" applyFont="1" applyFill="1" applyAlignment="1" applyProtection="1">
      <alignment horizontal="left"/>
      <protection hidden="1"/>
    </xf>
    <xf numFmtId="1" fontId="33" fillId="0" borderId="0" xfId="2" applyNumberFormat="1" applyFont="1" applyAlignment="1" applyProtection="1">
      <alignment horizontal="left"/>
      <protection hidden="1"/>
    </xf>
    <xf numFmtId="3" fontId="15" fillId="0" borderId="0" xfId="2" applyNumberFormat="1" applyFont="1" applyAlignment="1" applyProtection="1">
      <alignment horizontal="left"/>
      <protection hidden="1"/>
    </xf>
    <xf numFmtId="0" fontId="15" fillId="0" borderId="0" xfId="2" applyNumberFormat="1" applyFont="1" applyFill="1" applyBorder="1" applyAlignment="1" applyProtection="1">
      <alignment horizontal="left"/>
      <protection hidden="1"/>
    </xf>
    <xf numFmtId="0" fontId="11" fillId="0" borderId="0" xfId="2" applyNumberFormat="1" applyFont="1" applyFill="1" applyBorder="1" applyAlignment="1" applyProtection="1">
      <alignment horizontal="left"/>
      <protection hidden="1"/>
    </xf>
    <xf numFmtId="0" fontId="27" fillId="0" borderId="0" xfId="2" applyNumberFormat="1" applyFont="1" applyFill="1" applyBorder="1" applyAlignment="1" applyProtection="1">
      <alignment horizontal="left"/>
      <protection hidden="1"/>
    </xf>
    <xf numFmtId="0" fontId="9" fillId="0" borderId="0" xfId="2" applyFont="1" applyBorder="1" applyProtection="1">
      <protection hidden="1"/>
    </xf>
    <xf numFmtId="0" fontId="9" fillId="0" borderId="0" xfId="2" applyFont="1" applyProtection="1">
      <protection hidden="1"/>
    </xf>
    <xf numFmtId="0" fontId="21" fillId="0" borderId="0" xfId="2" applyFont="1" applyProtection="1">
      <protection hidden="1"/>
    </xf>
    <xf numFmtId="0" fontId="9" fillId="0" borderId="0" xfId="2" applyFont="1" applyAlignment="1" applyProtection="1">
      <alignment horizontal="center" vertical="center"/>
      <protection hidden="1"/>
    </xf>
    <xf numFmtId="170" fontId="0" fillId="0" borderId="0" xfId="1" applyNumberFormat="1" applyFont="1" applyBorder="1" applyAlignment="1" applyProtection="1">
      <alignment horizontal="right"/>
      <protection hidden="1"/>
    </xf>
    <xf numFmtId="0" fontId="25" fillId="0" borderId="0" xfId="0" applyFont="1" applyAlignment="1" applyProtection="1">
      <alignment horizontal="left" wrapText="1"/>
      <protection hidden="1"/>
    </xf>
    <xf numFmtId="171" fontId="10" fillId="0" borderId="14" xfId="2" applyNumberFormat="1" applyFont="1" applyBorder="1" applyAlignment="1" applyProtection="1">
      <alignment horizontal="center" vertical="center"/>
      <protection hidden="1"/>
    </xf>
    <xf numFmtId="164" fontId="9" fillId="0" borderId="0" xfId="2" applyNumberFormat="1" applyFont="1" applyProtection="1">
      <protection hidden="1"/>
    </xf>
    <xf numFmtId="164" fontId="9" fillId="0" borderId="0" xfId="2" applyNumberFormat="1" applyFont="1" applyBorder="1" applyProtection="1">
      <protection hidden="1"/>
    </xf>
    <xf numFmtId="0" fontId="9" fillId="0" borderId="0" xfId="2" applyFont="1" applyBorder="1" applyAlignment="1" applyProtection="1">
      <alignment horizontal="center"/>
      <protection hidden="1"/>
    </xf>
    <xf numFmtId="0" fontId="9" fillId="2" borderId="0" xfId="2" applyFont="1" applyFill="1" applyBorder="1" applyAlignment="1" applyProtection="1">
      <alignment horizontal="right"/>
      <protection hidden="1"/>
    </xf>
    <xf numFmtId="164" fontId="9" fillId="2" borderId="0" xfId="2" applyNumberFormat="1" applyFont="1" applyFill="1" applyBorder="1" applyAlignment="1" applyProtection="1">
      <alignment horizontal="right"/>
      <protection hidden="1"/>
    </xf>
    <xf numFmtId="0" fontId="9" fillId="2" borderId="0" xfId="2" applyFont="1" applyFill="1" applyBorder="1" applyProtection="1">
      <protection hidden="1"/>
    </xf>
    <xf numFmtId="164" fontId="9" fillId="2" borderId="0" xfId="2" applyNumberFormat="1" applyFont="1" applyFill="1" applyBorder="1" applyProtection="1">
      <protection hidden="1"/>
    </xf>
    <xf numFmtId="0" fontId="4" fillId="0" borderId="0" xfId="2" applyFont="1" applyAlignment="1" applyProtection="1">
      <protection hidden="1"/>
    </xf>
    <xf numFmtId="0" fontId="9" fillId="0" borderId="64" xfId="2" applyFont="1" applyBorder="1" applyProtection="1">
      <protection hidden="1"/>
    </xf>
    <xf numFmtId="164" fontId="9" fillId="0" borderId="64" xfId="2" applyNumberFormat="1" applyFont="1" applyBorder="1" applyProtection="1">
      <protection hidden="1"/>
    </xf>
    <xf numFmtId="0" fontId="9" fillId="0" borderId="65" xfId="2" applyFont="1" applyBorder="1" applyProtection="1">
      <protection hidden="1"/>
    </xf>
    <xf numFmtId="164" fontId="9" fillId="0" borderId="65" xfId="2" applyNumberFormat="1" applyFont="1" applyBorder="1" applyProtection="1">
      <protection hidden="1"/>
    </xf>
    <xf numFmtId="0" fontId="9" fillId="0" borderId="66" xfId="2" applyFont="1" applyBorder="1" applyProtection="1">
      <protection hidden="1"/>
    </xf>
    <xf numFmtId="164" fontId="9" fillId="0" borderId="66" xfId="2" applyNumberFormat="1" applyFont="1" applyBorder="1" applyProtection="1">
      <protection hidden="1"/>
    </xf>
    <xf numFmtId="0" fontId="9" fillId="2" borderId="2" xfId="2" applyFont="1" applyFill="1" applyBorder="1" applyAlignment="1" applyProtection="1">
      <alignment horizontal="center"/>
      <protection hidden="1"/>
    </xf>
    <xf numFmtId="0" fontId="9" fillId="0" borderId="67" xfId="2" applyFont="1" applyBorder="1" applyProtection="1">
      <protection hidden="1"/>
    </xf>
    <xf numFmtId="167" fontId="10" fillId="0" borderId="68" xfId="2" applyNumberFormat="1" applyFont="1" applyBorder="1" applyAlignment="1" applyProtection="1">
      <alignment horizontal="center" vertical="center"/>
      <protection hidden="1"/>
    </xf>
    <xf numFmtId="167" fontId="13" fillId="0" borderId="11" xfId="2" applyNumberFormat="1" applyFont="1" applyBorder="1" applyAlignment="1" applyProtection="1">
      <alignment horizontal="right" vertical="center"/>
      <protection hidden="1"/>
    </xf>
    <xf numFmtId="167" fontId="13" fillId="0" borderId="19" xfId="2" applyNumberFormat="1" applyFont="1" applyBorder="1" applyAlignment="1" applyProtection="1">
      <alignment horizontal="right" vertical="center"/>
      <protection hidden="1"/>
    </xf>
    <xf numFmtId="0" fontId="25" fillId="0" borderId="0" xfId="0" applyFont="1" applyAlignment="1" applyProtection="1">
      <alignment horizontal="left" vertical="top" wrapText="1"/>
      <protection hidden="1"/>
    </xf>
    <xf numFmtId="0" fontId="14" fillId="0" borderId="0" xfId="0" applyFont="1" applyAlignment="1" applyProtection="1">
      <alignment horizontal="left" vertical="top" wrapText="1"/>
      <protection hidden="1"/>
    </xf>
    <xf numFmtId="0" fontId="35" fillId="0" borderId="0" xfId="2" applyFont="1" applyProtection="1">
      <protection hidden="1"/>
    </xf>
    <xf numFmtId="0" fontId="24" fillId="0" borderId="0" xfId="2" quotePrefix="1" applyNumberFormat="1" applyFont="1" applyFill="1" applyBorder="1" applyAlignment="1" applyProtection="1">
      <protection hidden="1"/>
    </xf>
    <xf numFmtId="0" fontId="24" fillId="0" borderId="0" xfId="2" applyNumberFormat="1" applyFont="1" applyFill="1" applyBorder="1" applyAlignment="1" applyProtection="1">
      <protection hidden="1"/>
    </xf>
    <xf numFmtId="0" fontId="37" fillId="0" borderId="0" xfId="2" applyFont="1" applyProtection="1">
      <protection hidden="1"/>
    </xf>
    <xf numFmtId="167" fontId="21" fillId="0" borderId="0" xfId="2" applyNumberFormat="1" applyFont="1" applyFill="1" applyBorder="1" applyAlignment="1" applyProtection="1">
      <alignment horizontal="left"/>
      <protection hidden="1"/>
    </xf>
    <xf numFmtId="9" fontId="11" fillId="0" borderId="0" xfId="3" applyFont="1" applyAlignment="1" applyProtection="1">
      <alignment horizontal="left"/>
      <protection hidden="1"/>
    </xf>
    <xf numFmtId="0" fontId="21" fillId="0" borderId="0" xfId="2" applyNumberFormat="1" applyFont="1" applyFill="1" applyBorder="1" applyAlignment="1" applyProtection="1">
      <alignment horizontal="left"/>
      <protection hidden="1"/>
    </xf>
    <xf numFmtId="0" fontId="17" fillId="0" borderId="0" xfId="2" applyFont="1" applyBorder="1" applyAlignment="1" applyProtection="1">
      <alignment horizontal="left" vertical="center"/>
      <protection hidden="1"/>
    </xf>
    <xf numFmtId="1" fontId="17" fillId="0" borderId="0" xfId="2" applyNumberFormat="1" applyFont="1" applyBorder="1" applyAlignment="1" applyProtection="1">
      <alignment horizontal="right" vertical="center"/>
      <protection hidden="1"/>
    </xf>
    <xf numFmtId="0" fontId="36" fillId="0" borderId="0" xfId="2" applyNumberFormat="1" applyFont="1" applyFill="1" applyBorder="1" applyAlignment="1" applyProtection="1">
      <alignment horizontal="left"/>
      <protection hidden="1"/>
    </xf>
    <xf numFmtId="0" fontId="35" fillId="0" borderId="0" xfId="2" applyNumberFormat="1" applyFont="1" applyFill="1" applyBorder="1" applyAlignment="1" applyProtection="1">
      <alignment horizontal="left"/>
      <protection hidden="1"/>
    </xf>
    <xf numFmtId="0" fontId="17" fillId="0" borderId="0" xfId="2" applyFont="1" applyAlignment="1" applyProtection="1">
      <alignment horizontal="left"/>
      <protection hidden="1"/>
    </xf>
    <xf numFmtId="0" fontId="0" fillId="0" borderId="0" xfId="0" applyFont="1" applyProtection="1">
      <protection hidden="1"/>
    </xf>
    <xf numFmtId="0" fontId="0" fillId="0" borderId="0" xfId="0" applyFont="1" applyAlignment="1" applyProtection="1">
      <alignment horizontal="left"/>
      <protection hidden="1"/>
    </xf>
    <xf numFmtId="0" fontId="0" fillId="0" borderId="29" xfId="0" applyFont="1" applyBorder="1" applyProtection="1">
      <protection hidden="1"/>
    </xf>
    <xf numFmtId="164" fontId="0" fillId="0" borderId="59" xfId="0" applyNumberFormat="1" applyFont="1" applyBorder="1" applyAlignment="1" applyProtection="1">
      <alignment horizontal="right"/>
      <protection hidden="1"/>
    </xf>
    <xf numFmtId="0" fontId="0" fillId="0" borderId="29" xfId="0" applyFont="1" applyBorder="1" applyAlignment="1" applyProtection="1">
      <alignment horizontal="left"/>
      <protection hidden="1"/>
    </xf>
    <xf numFmtId="164" fontId="0" fillId="0" borderId="0" xfId="0" applyNumberFormat="1" applyFont="1" applyBorder="1" applyAlignment="1" applyProtection="1">
      <alignment horizontal="right"/>
      <protection hidden="1"/>
    </xf>
    <xf numFmtId="0" fontId="0" fillId="0" borderId="29" xfId="0" applyFont="1" applyBorder="1" applyAlignment="1" applyProtection="1">
      <protection hidden="1"/>
    </xf>
    <xf numFmtId="0" fontId="0" fillId="0" borderId="0" xfId="0" applyFont="1" applyAlignment="1" applyProtection="1">
      <alignment vertical="top"/>
      <protection hidden="1"/>
    </xf>
    <xf numFmtId="0" fontId="38" fillId="0" borderId="0" xfId="0" applyFont="1" applyAlignment="1" applyProtection="1">
      <alignment vertical="center"/>
      <protection hidden="1"/>
    </xf>
    <xf numFmtId="0" fontId="0" fillId="0" borderId="0" xfId="0" applyFont="1" applyAlignment="1" applyProtection="1">
      <alignment horizontal="left" vertical="top" wrapText="1"/>
      <protection hidden="1"/>
    </xf>
    <xf numFmtId="0" fontId="38" fillId="0" borderId="0" xfId="0" applyFont="1" applyAlignment="1" applyProtection="1">
      <alignment horizontal="left" vertical="center"/>
      <protection hidden="1"/>
    </xf>
    <xf numFmtId="0" fontId="39" fillId="0" borderId="52" xfId="0" applyFont="1" applyBorder="1" applyAlignment="1" applyProtection="1">
      <alignment horizontal="center" vertical="center"/>
      <protection hidden="1"/>
    </xf>
    <xf numFmtId="0" fontId="40" fillId="0" borderId="52" xfId="0" applyFont="1" applyBorder="1" applyAlignment="1" applyProtection="1">
      <alignment horizontal="center" vertical="center"/>
      <protection hidden="1"/>
    </xf>
    <xf numFmtId="0" fontId="14" fillId="0" borderId="0" xfId="0" applyFont="1" applyBorder="1" applyAlignment="1" applyProtection="1">
      <alignment horizontal="center" vertical="center" wrapText="1"/>
      <protection hidden="1"/>
    </xf>
    <xf numFmtId="0" fontId="41" fillId="0" borderId="0" xfId="2" applyNumberFormat="1" applyFont="1" applyFill="1" applyBorder="1" applyAlignment="1" applyProtection="1">
      <alignment horizontal="left"/>
      <protection hidden="1"/>
    </xf>
    <xf numFmtId="0" fontId="7" fillId="0" borderId="0" xfId="2" applyFont="1" applyAlignment="1" applyProtection="1">
      <alignment horizontal="right" textRotation="90" wrapText="1"/>
      <protection hidden="1"/>
    </xf>
    <xf numFmtId="0" fontId="32" fillId="2" borderId="0" xfId="2" applyFont="1" applyFill="1" applyBorder="1" applyAlignment="1" applyProtection="1">
      <alignment horizontal="right"/>
      <protection hidden="1"/>
    </xf>
    <xf numFmtId="164" fontId="7" fillId="0" borderId="0" xfId="2" applyNumberFormat="1" applyFont="1" applyAlignment="1" applyProtection="1">
      <alignment horizontal="right" textRotation="90" wrapText="1"/>
      <protection hidden="1"/>
    </xf>
    <xf numFmtId="0" fontId="44" fillId="0" borderId="0" xfId="2" applyFont="1" applyAlignment="1" applyProtection="1">
      <alignment horizontal="right" vertical="top"/>
      <protection hidden="1"/>
    </xf>
    <xf numFmtId="172" fontId="44" fillId="0" borderId="0" xfId="2" applyNumberFormat="1" applyFont="1" applyAlignment="1" applyProtection="1">
      <alignment horizontal="right" vertical="top"/>
      <protection hidden="1"/>
    </xf>
    <xf numFmtId="0" fontId="2" fillId="0" borderId="49" xfId="0" applyFont="1" applyBorder="1" applyAlignment="1" applyProtection="1">
      <alignment vertical="center"/>
      <protection hidden="1"/>
    </xf>
    <xf numFmtId="0" fontId="0" fillId="0" borderId="49" xfId="0" applyFont="1" applyBorder="1" applyAlignment="1" applyProtection="1">
      <alignment vertical="center"/>
      <protection hidden="1"/>
    </xf>
    <xf numFmtId="0" fontId="4" fillId="0" borderId="0" xfId="2" applyFont="1" applyAlignment="1" applyProtection="1">
      <alignment horizontal="center"/>
      <protection hidden="1"/>
    </xf>
    <xf numFmtId="0" fontId="4" fillId="0" borderId="0" xfId="2" applyNumberFormat="1" applyFont="1" applyFill="1" applyBorder="1" applyAlignment="1" applyProtection="1">
      <alignment horizontal="center"/>
      <protection hidden="1"/>
    </xf>
    <xf numFmtId="0" fontId="4" fillId="0" borderId="0" xfId="2" applyFont="1" applyBorder="1" applyAlignment="1" applyProtection="1">
      <alignment horizontal="center"/>
      <protection hidden="1"/>
    </xf>
    <xf numFmtId="0" fontId="9" fillId="0" borderId="0" xfId="2" applyFont="1" applyAlignment="1" applyProtection="1">
      <alignment horizontal="center"/>
      <protection hidden="1"/>
    </xf>
    <xf numFmtId="0" fontId="3" fillId="0" borderId="0" xfId="2" applyFill="1" applyAlignment="1" applyProtection="1">
      <alignment horizontal="center"/>
      <protection hidden="1"/>
    </xf>
    <xf numFmtId="0" fontId="43" fillId="0" borderId="0" xfId="0" applyFont="1" applyBorder="1" applyAlignment="1" applyProtection="1">
      <alignment horizontal="right"/>
      <protection hidden="1"/>
    </xf>
    <xf numFmtId="0" fontId="22" fillId="0" borderId="0" xfId="0" applyFont="1" applyBorder="1" applyProtection="1">
      <protection hidden="1"/>
    </xf>
    <xf numFmtId="0" fontId="9" fillId="0" borderId="0" xfId="2" applyFont="1" applyBorder="1" applyAlignment="1" applyProtection="1">
      <alignment horizontal="left"/>
      <protection hidden="1"/>
    </xf>
    <xf numFmtId="3" fontId="17" fillId="0" borderId="0" xfId="2" applyNumberFormat="1" applyFont="1" applyFill="1" applyBorder="1" applyAlignment="1" applyProtection="1">
      <alignment horizontal="left" vertical="center"/>
      <protection hidden="1"/>
    </xf>
    <xf numFmtId="3" fontId="17" fillId="0" borderId="0" xfId="2" applyNumberFormat="1" applyFont="1" applyBorder="1" applyAlignment="1" applyProtection="1">
      <alignment horizontal="left" vertical="center"/>
      <protection hidden="1"/>
    </xf>
    <xf numFmtId="168" fontId="17" fillId="0" borderId="0" xfId="2" applyNumberFormat="1" applyFont="1" applyFill="1" applyBorder="1" applyAlignment="1" applyProtection="1">
      <alignment horizontal="left" vertical="center"/>
      <protection hidden="1"/>
    </xf>
    <xf numFmtId="0" fontId="17" fillId="0" borderId="0" xfId="2" applyNumberFormat="1" applyFont="1" applyFill="1" applyBorder="1" applyAlignment="1" applyProtection="1">
      <alignment horizontal="left" vertical="center"/>
      <protection hidden="1"/>
    </xf>
    <xf numFmtId="1" fontId="17" fillId="0" borderId="0" xfId="2" applyNumberFormat="1" applyFont="1" applyBorder="1" applyAlignment="1" applyProtection="1">
      <alignment horizontal="left" vertical="center"/>
      <protection hidden="1"/>
    </xf>
    <xf numFmtId="0" fontId="9" fillId="0" borderId="0" xfId="2" applyFont="1" applyBorder="1" applyAlignment="1" applyProtection="1">
      <alignment horizontal="left" vertical="center"/>
      <protection hidden="1"/>
    </xf>
    <xf numFmtId="0" fontId="37" fillId="4" borderId="44" xfId="2" applyFont="1" applyFill="1" applyBorder="1" applyAlignment="1" applyProtection="1">
      <alignment vertical="center"/>
      <protection hidden="1"/>
    </xf>
    <xf numFmtId="167" fontId="13" fillId="4" borderId="62" xfId="2" applyNumberFormat="1" applyFont="1" applyFill="1" applyBorder="1" applyAlignment="1" applyProtection="1">
      <alignment horizontal="left" vertical="center"/>
      <protection hidden="1"/>
    </xf>
    <xf numFmtId="0" fontId="21" fillId="5" borderId="9" xfId="2" applyFont="1" applyFill="1" applyBorder="1" applyAlignment="1" applyProtection="1">
      <alignment vertical="center"/>
      <protection hidden="1"/>
    </xf>
    <xf numFmtId="0" fontId="9" fillId="5" borderId="10" xfId="2" applyFont="1" applyFill="1" applyBorder="1" applyProtection="1">
      <protection hidden="1"/>
    </xf>
    <xf numFmtId="0" fontId="21" fillId="5" borderId="13" xfId="2" applyFont="1" applyFill="1" applyBorder="1" applyAlignment="1" applyProtection="1">
      <alignment vertical="center"/>
      <protection hidden="1"/>
    </xf>
    <xf numFmtId="0" fontId="9" fillId="5" borderId="0" xfId="2" applyFont="1" applyFill="1" applyBorder="1" applyProtection="1">
      <protection hidden="1"/>
    </xf>
    <xf numFmtId="0" fontId="15" fillId="5" borderId="0" xfId="2" applyFont="1" applyFill="1" applyBorder="1" applyAlignment="1" applyProtection="1">
      <alignment horizontal="right" vertical="center"/>
      <protection hidden="1"/>
    </xf>
    <xf numFmtId="0" fontId="21" fillId="5" borderId="17" xfId="2" applyFont="1" applyFill="1" applyBorder="1" applyAlignment="1" applyProtection="1">
      <alignment vertical="center"/>
      <protection hidden="1"/>
    </xf>
    <xf numFmtId="0" fontId="9" fillId="5" borderId="18" xfId="2" applyFont="1" applyFill="1" applyBorder="1" applyProtection="1">
      <protection hidden="1"/>
    </xf>
    <xf numFmtId="167" fontId="35" fillId="5" borderId="15" xfId="2" applyNumberFormat="1" applyFont="1" applyFill="1" applyBorder="1" applyAlignment="1" applyProtection="1">
      <alignment horizontal="left" vertical="center"/>
      <protection hidden="1"/>
    </xf>
    <xf numFmtId="0" fontId="11" fillId="0" borderId="0" xfId="2" applyFont="1" applyAlignment="1" applyProtection="1">
      <alignment horizontal="right" wrapText="1"/>
      <protection hidden="1"/>
    </xf>
    <xf numFmtId="0" fontId="14" fillId="0" borderId="53" xfId="0" applyFont="1" applyBorder="1" applyAlignment="1" applyProtection="1">
      <alignment horizontal="center" vertical="center" wrapText="1"/>
      <protection hidden="1"/>
    </xf>
    <xf numFmtId="0" fontId="14" fillId="0" borderId="52" xfId="0" applyFont="1" applyBorder="1" applyAlignment="1" applyProtection="1">
      <alignment horizontal="center" vertical="center" wrapText="1"/>
      <protection hidden="1"/>
    </xf>
    <xf numFmtId="0" fontId="39" fillId="0" borderId="52" xfId="0" applyFont="1" applyBorder="1" applyAlignment="1" applyProtection="1">
      <alignment horizontal="center" vertical="center" wrapText="1"/>
      <protection hidden="1"/>
    </xf>
    <xf numFmtId="0" fontId="46" fillId="0" borderId="53" xfId="0" applyFont="1" applyBorder="1" applyAlignment="1" applyProtection="1">
      <alignment horizontal="center" vertical="center" wrapText="1"/>
      <protection hidden="1"/>
    </xf>
    <xf numFmtId="0" fontId="46" fillId="0" borderId="52" xfId="0" applyFont="1" applyBorder="1" applyAlignment="1" applyProtection="1">
      <alignment horizontal="center" vertical="center" wrapText="1"/>
      <protection hidden="1"/>
    </xf>
    <xf numFmtId="0" fontId="45" fillId="0" borderId="53" xfId="0" applyFont="1" applyBorder="1" applyAlignment="1" applyProtection="1">
      <alignment horizontal="center" vertical="center" wrapText="1"/>
      <protection hidden="1"/>
    </xf>
    <xf numFmtId="16" fontId="10" fillId="0" borderId="14" xfId="2" applyNumberFormat="1" applyFont="1" applyBorder="1" applyAlignment="1" applyProtection="1">
      <alignment horizontal="center" vertical="center" wrapText="1"/>
      <protection hidden="1"/>
    </xf>
    <xf numFmtId="0" fontId="9" fillId="0" borderId="0" xfId="2" applyFont="1" applyBorder="1" applyAlignment="1" applyProtection="1">
      <alignment horizontal="left" vertical="top" wrapText="1"/>
      <protection hidden="1"/>
    </xf>
    <xf numFmtId="0" fontId="9" fillId="0" borderId="28" xfId="2" applyFont="1" applyBorder="1" applyAlignment="1" applyProtection="1">
      <alignment horizontal="left"/>
      <protection hidden="1"/>
    </xf>
    <xf numFmtId="0" fontId="9" fillId="0" borderId="29" xfId="2" applyFont="1" applyBorder="1" applyAlignment="1" applyProtection="1">
      <alignment horizontal="left"/>
      <protection hidden="1"/>
    </xf>
    <xf numFmtId="167" fontId="17" fillId="5" borderId="12" xfId="2" applyNumberFormat="1" applyFont="1" applyFill="1" applyBorder="1" applyAlignment="1" applyProtection="1">
      <alignment horizontal="right" vertical="center"/>
      <protection hidden="1"/>
    </xf>
    <xf numFmtId="167" fontId="17" fillId="5" borderId="15" xfId="2" applyNumberFormat="1" applyFont="1" applyFill="1" applyBorder="1" applyAlignment="1" applyProtection="1">
      <alignment horizontal="right" vertical="center"/>
      <protection hidden="1"/>
    </xf>
    <xf numFmtId="0" fontId="0" fillId="0" borderId="0" xfId="0" applyFont="1" applyAlignment="1" applyProtection="1">
      <alignment horizontal="left"/>
      <protection hidden="1"/>
    </xf>
    <xf numFmtId="0" fontId="25" fillId="0" borderId="0" xfId="0" applyFont="1" applyAlignment="1" applyProtection="1">
      <alignment horizontal="left" vertical="top" wrapText="1"/>
      <protection hidden="1"/>
    </xf>
    <xf numFmtId="164" fontId="3" fillId="0" borderId="0" xfId="2" applyNumberFormat="1" applyAlignment="1" applyProtection="1">
      <alignment horizontal="center"/>
      <protection hidden="1"/>
    </xf>
    <xf numFmtId="0" fontId="9" fillId="0" borderId="0" xfId="2" applyFont="1" applyAlignment="1" applyProtection="1">
      <alignment horizontal="right"/>
      <protection hidden="1"/>
    </xf>
    <xf numFmtId="0" fontId="24" fillId="0" borderId="0" xfId="2" applyNumberFormat="1" applyFont="1" applyFill="1" applyBorder="1" applyAlignment="1" applyProtection="1">
      <alignment horizontal="right"/>
      <protection hidden="1"/>
    </xf>
    <xf numFmtId="0" fontId="24" fillId="0" borderId="0" xfId="2" quotePrefix="1" applyNumberFormat="1" applyFont="1" applyFill="1" applyBorder="1" applyAlignment="1" applyProtection="1">
      <alignment horizontal="right"/>
      <protection hidden="1"/>
    </xf>
    <xf numFmtId="0" fontId="27" fillId="0" borderId="0" xfId="2" applyNumberFormat="1" applyFont="1" applyFill="1" applyBorder="1" applyAlignment="1" applyProtection="1">
      <alignment horizontal="right"/>
      <protection hidden="1"/>
    </xf>
    <xf numFmtId="0" fontId="17" fillId="0" borderId="0" xfId="2" applyNumberFormat="1" applyFont="1" applyFill="1" applyBorder="1" applyAlignment="1" applyProtection="1">
      <alignment horizontal="right" vertical="center"/>
      <protection hidden="1"/>
    </xf>
    <xf numFmtId="168" fontId="27" fillId="0" borderId="0" xfId="2" applyNumberFormat="1" applyFont="1" applyFill="1" applyBorder="1" applyAlignment="1" applyProtection="1">
      <alignment horizontal="right"/>
      <protection hidden="1"/>
    </xf>
    <xf numFmtId="0" fontId="11" fillId="0" borderId="0" xfId="2" applyNumberFormat="1" applyFont="1" applyFill="1" applyBorder="1" applyAlignment="1" applyProtection="1">
      <alignment horizontal="right"/>
      <protection hidden="1"/>
    </xf>
    <xf numFmtId="0" fontId="9" fillId="0" borderId="0" xfId="2" applyFont="1" applyBorder="1" applyAlignment="1" applyProtection="1">
      <alignment horizontal="center" vertical="center"/>
      <protection hidden="1"/>
    </xf>
    <xf numFmtId="0" fontId="9" fillId="0" borderId="0" xfId="2" applyFont="1" applyBorder="1" applyAlignment="1" applyProtection="1">
      <alignment vertical="center" wrapText="1"/>
      <protection hidden="1"/>
    </xf>
    <xf numFmtId="0" fontId="9" fillId="0" borderId="0" xfId="2" applyFont="1" applyBorder="1" applyAlignment="1" applyProtection="1">
      <alignment horizontal="center" vertical="center" wrapText="1"/>
      <protection hidden="1"/>
    </xf>
    <xf numFmtId="0" fontId="12" fillId="0" borderId="0" xfId="2" applyFont="1" applyAlignment="1" applyProtection="1">
      <alignment vertical="center" textRotation="90"/>
      <protection hidden="1"/>
    </xf>
    <xf numFmtId="0" fontId="9" fillId="0" borderId="20" xfId="2" applyFont="1" applyBorder="1" applyAlignment="1" applyProtection="1">
      <alignment horizontal="center" vertical="center"/>
      <protection hidden="1"/>
    </xf>
    <xf numFmtId="0" fontId="9" fillId="0" borderId="21" xfId="2" applyFont="1" applyBorder="1" applyAlignment="1" applyProtection="1">
      <alignment horizontal="center" vertical="center"/>
      <protection hidden="1"/>
    </xf>
    <xf numFmtId="0" fontId="9" fillId="0" borderId="22" xfId="2" applyFont="1" applyBorder="1" applyAlignment="1" applyProtection="1">
      <alignment horizontal="center" vertical="center"/>
      <protection hidden="1"/>
    </xf>
    <xf numFmtId="0" fontId="9" fillId="0" borderId="30" xfId="2" applyFont="1" applyBorder="1" applyAlignment="1" applyProtection="1">
      <alignment horizontal="center" vertical="center"/>
      <protection hidden="1"/>
    </xf>
    <xf numFmtId="0" fontId="9" fillId="0" borderId="55" xfId="2" applyFont="1" applyBorder="1" applyAlignment="1" applyProtection="1">
      <alignment horizontal="center" vertical="center"/>
      <protection hidden="1"/>
    </xf>
    <xf numFmtId="0" fontId="9" fillId="0" borderId="50" xfId="2" applyFont="1" applyBorder="1" applyAlignment="1" applyProtection="1">
      <alignment horizontal="center" vertical="center"/>
      <protection hidden="1"/>
    </xf>
    <xf numFmtId="0" fontId="9" fillId="0" borderId="57" xfId="2" applyFont="1" applyBorder="1" applyAlignment="1" applyProtection="1">
      <alignment horizontal="center" vertical="center"/>
      <protection hidden="1"/>
    </xf>
    <xf numFmtId="0" fontId="47" fillId="0" borderId="21" xfId="2" applyFont="1" applyBorder="1" applyAlignment="1" applyProtection="1">
      <alignment horizontal="center" vertical="center"/>
      <protection hidden="1"/>
    </xf>
    <xf numFmtId="1" fontId="47" fillId="0" borderId="30" xfId="2" applyNumberFormat="1" applyFont="1" applyBorder="1" applyAlignment="1" applyProtection="1">
      <alignment horizontal="center" vertical="center"/>
      <protection hidden="1"/>
    </xf>
    <xf numFmtId="2" fontId="47" fillId="0" borderId="30" xfId="2" applyNumberFormat="1" applyFont="1" applyBorder="1" applyAlignment="1" applyProtection="1">
      <alignment horizontal="center" vertical="center"/>
      <protection hidden="1"/>
    </xf>
    <xf numFmtId="1" fontId="2" fillId="0" borderId="59" xfId="0" applyNumberFormat="1" applyFont="1" applyBorder="1" applyAlignment="1" applyProtection="1">
      <alignment horizontal="right"/>
      <protection hidden="1"/>
    </xf>
    <xf numFmtId="0" fontId="35" fillId="0" borderId="0" xfId="2" applyFont="1" applyBorder="1" applyAlignment="1" applyProtection="1">
      <alignment horizontal="center" wrapText="1"/>
      <protection hidden="1"/>
    </xf>
    <xf numFmtId="0" fontId="47" fillId="0" borderId="0" xfId="2" applyFont="1" applyAlignment="1" applyProtection="1">
      <alignment horizontal="center" vertical="center"/>
      <protection hidden="1"/>
    </xf>
    <xf numFmtId="0" fontId="35" fillId="0" borderId="0" xfId="2" applyFont="1" applyBorder="1" applyAlignment="1" applyProtection="1">
      <alignment wrapText="1"/>
      <protection hidden="1"/>
    </xf>
    <xf numFmtId="0" fontId="9" fillId="0" borderId="56" xfId="2" applyFont="1" applyBorder="1" applyAlignment="1" applyProtection="1">
      <alignment horizontal="center" vertical="center"/>
      <protection hidden="1"/>
    </xf>
    <xf numFmtId="0" fontId="47" fillId="0" borderId="0" xfId="2" applyFont="1" applyBorder="1" applyAlignment="1" applyProtection="1">
      <alignment horizontal="center" vertical="center"/>
      <protection hidden="1"/>
    </xf>
    <xf numFmtId="164" fontId="15" fillId="0" borderId="31" xfId="2" applyNumberFormat="1" applyFont="1" applyBorder="1" applyAlignment="1" applyProtection="1">
      <alignment horizontal="center" vertical="center"/>
      <protection hidden="1"/>
    </xf>
    <xf numFmtId="164" fontId="15" fillId="0" borderId="3" xfId="2" applyNumberFormat="1" applyFont="1" applyBorder="1" applyAlignment="1" applyProtection="1">
      <alignment horizontal="center" vertical="center"/>
      <protection hidden="1"/>
    </xf>
    <xf numFmtId="164" fontId="15" fillId="0" borderId="34" xfId="2" applyNumberFormat="1" applyFont="1" applyBorder="1" applyAlignment="1" applyProtection="1">
      <alignment horizontal="center" vertical="center"/>
      <protection hidden="1"/>
    </xf>
    <xf numFmtId="164" fontId="15" fillId="0" borderId="5" xfId="2" applyNumberFormat="1" applyFont="1" applyBorder="1" applyAlignment="1" applyProtection="1">
      <alignment horizontal="center" vertical="center"/>
      <protection hidden="1"/>
    </xf>
    <xf numFmtId="164" fontId="15" fillId="0" borderId="41" xfId="2" applyNumberFormat="1" applyFont="1" applyBorder="1" applyAlignment="1" applyProtection="1">
      <alignment horizontal="center" vertical="center"/>
      <protection hidden="1"/>
    </xf>
    <xf numFmtId="164" fontId="15" fillId="0" borderId="8" xfId="2" applyNumberFormat="1" applyFont="1" applyBorder="1" applyAlignment="1" applyProtection="1">
      <alignment horizontal="center" vertical="center"/>
      <protection hidden="1"/>
    </xf>
    <xf numFmtId="164" fontId="49" fillId="0" borderId="56" xfId="2" applyNumberFormat="1" applyFont="1" applyBorder="1" applyAlignment="1" applyProtection="1">
      <alignment horizontal="center" vertical="center"/>
      <protection hidden="1"/>
    </xf>
    <xf numFmtId="0" fontId="50" fillId="0" borderId="0" xfId="2" applyFont="1" applyAlignment="1" applyProtection="1">
      <alignment horizontal="center" vertical="center"/>
      <protection hidden="1"/>
    </xf>
    <xf numFmtId="164" fontId="51" fillId="0" borderId="51" xfId="2" applyNumberFormat="1" applyFont="1" applyBorder="1" applyAlignment="1" applyProtection="1">
      <alignment horizontal="center" vertical="center"/>
      <protection hidden="1"/>
    </xf>
    <xf numFmtId="164" fontId="51" fillId="0" borderId="56" xfId="2" applyNumberFormat="1" applyFont="1" applyBorder="1" applyAlignment="1" applyProtection="1">
      <alignment horizontal="center" vertical="center"/>
      <protection hidden="1"/>
    </xf>
    <xf numFmtId="164" fontId="51" fillId="0" borderId="58" xfId="2" applyNumberFormat="1" applyFont="1" applyBorder="1" applyAlignment="1" applyProtection="1">
      <alignment horizontal="center" vertical="center"/>
      <protection hidden="1"/>
    </xf>
    <xf numFmtId="0" fontId="52" fillId="0" borderId="51" xfId="2" applyFont="1" applyBorder="1" applyAlignment="1" applyProtection="1">
      <alignment horizontal="center" vertical="center"/>
      <protection hidden="1"/>
    </xf>
    <xf numFmtId="0" fontId="52" fillId="0" borderId="28" xfId="2" applyFont="1" applyBorder="1" applyAlignment="1" applyProtection="1">
      <alignment horizontal="center" vertical="center"/>
      <protection hidden="1"/>
    </xf>
    <xf numFmtId="0" fontId="52" fillId="0" borderId="56" xfId="2" applyFont="1" applyBorder="1" applyAlignment="1" applyProtection="1">
      <alignment horizontal="center" vertical="center"/>
      <protection hidden="1"/>
    </xf>
    <xf numFmtId="0" fontId="52" fillId="0" borderId="0" xfId="2" applyFont="1" applyBorder="1" applyAlignment="1" applyProtection="1">
      <alignment horizontal="center" vertical="center"/>
      <protection hidden="1"/>
    </xf>
    <xf numFmtId="0" fontId="52" fillId="0" borderId="58" xfId="2" applyFont="1" applyBorder="1" applyAlignment="1" applyProtection="1">
      <alignment horizontal="center" vertical="center"/>
      <protection hidden="1"/>
    </xf>
    <xf numFmtId="0" fontId="52" fillId="0" borderId="29" xfId="2" applyFont="1" applyBorder="1" applyAlignment="1" applyProtection="1">
      <alignment horizontal="center" vertical="center"/>
      <protection hidden="1"/>
    </xf>
    <xf numFmtId="0" fontId="52" fillId="0" borderId="0" xfId="2" applyFont="1" applyAlignment="1" applyProtection="1">
      <alignment horizontal="center" vertical="center"/>
      <protection hidden="1"/>
    </xf>
    <xf numFmtId="0" fontId="52" fillId="0" borderId="30" xfId="2" applyFont="1" applyBorder="1" applyAlignment="1" applyProtection="1">
      <alignment horizontal="center" vertical="center"/>
      <protection hidden="1"/>
    </xf>
    <xf numFmtId="164" fontId="15" fillId="0" borderId="74" xfId="2" applyNumberFormat="1" applyFont="1" applyBorder="1" applyAlignment="1" applyProtection="1">
      <alignment horizontal="center" vertical="center"/>
      <protection hidden="1"/>
    </xf>
    <xf numFmtId="164" fontId="51" fillId="0" borderId="30" xfId="2" applyNumberFormat="1" applyFont="1" applyBorder="1" applyAlignment="1" applyProtection="1">
      <alignment horizontal="center" vertical="center"/>
      <protection hidden="1"/>
    </xf>
    <xf numFmtId="164" fontId="49" fillId="0" borderId="51" xfId="2" applyNumberFormat="1" applyFont="1" applyBorder="1" applyAlignment="1" applyProtection="1">
      <alignment horizontal="center" vertical="center"/>
      <protection hidden="1"/>
    </xf>
    <xf numFmtId="164" fontId="49" fillId="0" borderId="58" xfId="2" applyNumberFormat="1" applyFont="1" applyBorder="1" applyAlignment="1" applyProtection="1">
      <alignment horizontal="center" vertical="center"/>
      <protection hidden="1"/>
    </xf>
    <xf numFmtId="164" fontId="49" fillId="0" borderId="0" xfId="2" applyNumberFormat="1" applyFont="1" applyBorder="1" applyAlignment="1" applyProtection="1">
      <alignment horizontal="center" vertical="center"/>
      <protection hidden="1"/>
    </xf>
    <xf numFmtId="164" fontId="49" fillId="0" borderId="25" xfId="2" applyNumberFormat="1" applyFont="1" applyBorder="1" applyAlignment="1" applyProtection="1">
      <alignment horizontal="center" vertical="center"/>
      <protection hidden="1"/>
    </xf>
    <xf numFmtId="164" fontId="51" fillId="0" borderId="25" xfId="2" applyNumberFormat="1" applyFont="1" applyBorder="1" applyAlignment="1" applyProtection="1">
      <alignment horizontal="center" vertical="center"/>
      <protection hidden="1"/>
    </xf>
    <xf numFmtId="0" fontId="52" fillId="0" borderId="25" xfId="2" applyFont="1" applyBorder="1" applyAlignment="1" applyProtection="1">
      <alignment horizontal="center" vertical="center"/>
      <protection hidden="1"/>
    </xf>
    <xf numFmtId="164" fontId="15" fillId="0" borderId="75" xfId="2" applyNumberFormat="1" applyFont="1" applyBorder="1" applyAlignment="1" applyProtection="1">
      <alignment horizontal="center" vertical="center"/>
      <protection hidden="1"/>
    </xf>
    <xf numFmtId="164" fontId="48" fillId="0" borderId="31" xfId="2" applyNumberFormat="1" applyFont="1" applyBorder="1" applyAlignment="1" applyProtection="1">
      <alignment horizontal="center" vertical="center"/>
      <protection hidden="1"/>
    </xf>
    <xf numFmtId="164" fontId="48" fillId="0" borderId="33" xfId="2" applyNumberFormat="1" applyFont="1" applyBorder="1" applyAlignment="1" applyProtection="1">
      <alignment horizontal="center" vertical="center"/>
      <protection hidden="1"/>
    </xf>
    <xf numFmtId="164" fontId="48" fillId="0" borderId="34" xfId="2" applyNumberFormat="1" applyFont="1" applyBorder="1" applyAlignment="1" applyProtection="1">
      <alignment horizontal="center" vertical="center"/>
      <protection hidden="1"/>
    </xf>
    <xf numFmtId="164" fontId="48" fillId="0" borderId="35" xfId="2" applyNumberFormat="1" applyFont="1" applyBorder="1" applyAlignment="1" applyProtection="1">
      <alignment horizontal="center" vertical="center"/>
      <protection hidden="1"/>
    </xf>
    <xf numFmtId="164" fontId="48" fillId="0" borderId="41" xfId="2" applyNumberFormat="1" applyFont="1" applyBorder="1" applyAlignment="1" applyProtection="1">
      <alignment horizontal="center" vertical="center"/>
      <protection hidden="1"/>
    </xf>
    <xf numFmtId="164" fontId="48" fillId="0" borderId="43" xfId="2" applyNumberFormat="1" applyFont="1" applyBorder="1" applyAlignment="1" applyProtection="1">
      <alignment horizontal="center" vertical="center"/>
      <protection hidden="1"/>
    </xf>
    <xf numFmtId="164" fontId="48" fillId="0" borderId="74" xfId="2" applyNumberFormat="1" applyFont="1" applyBorder="1" applyAlignment="1" applyProtection="1">
      <alignment horizontal="center" vertical="center"/>
      <protection hidden="1"/>
    </xf>
    <xf numFmtId="164" fontId="48" fillId="0" borderId="75" xfId="2" applyNumberFormat="1" applyFont="1" applyBorder="1" applyAlignment="1" applyProtection="1">
      <alignment horizontal="center" vertical="center"/>
      <protection hidden="1"/>
    </xf>
    <xf numFmtId="0" fontId="47" fillId="0" borderId="31" xfId="2" applyFont="1" applyBorder="1" applyAlignment="1" applyProtection="1">
      <alignment horizontal="center" vertical="center"/>
      <protection hidden="1"/>
    </xf>
    <xf numFmtId="0" fontId="47" fillId="0" borderId="33" xfId="2" applyFont="1" applyBorder="1" applyAlignment="1" applyProtection="1">
      <alignment horizontal="center" vertical="center"/>
      <protection hidden="1"/>
    </xf>
    <xf numFmtId="0" fontId="47" fillId="0" borderId="34" xfId="2" applyFont="1" applyBorder="1" applyAlignment="1" applyProtection="1">
      <alignment horizontal="center" vertical="center"/>
      <protection hidden="1"/>
    </xf>
    <xf numFmtId="0" fontId="47" fillId="0" borderId="35" xfId="2" applyFont="1" applyBorder="1" applyAlignment="1" applyProtection="1">
      <alignment horizontal="center" vertical="center"/>
      <protection hidden="1"/>
    </xf>
    <xf numFmtId="0" fontId="47" fillId="0" borderId="41" xfId="2" applyFont="1" applyBorder="1" applyAlignment="1" applyProtection="1">
      <alignment horizontal="center" vertical="center"/>
      <protection hidden="1"/>
    </xf>
    <xf numFmtId="0" fontId="47" fillId="0" borderId="43" xfId="2" applyFont="1" applyBorder="1" applyAlignment="1" applyProtection="1">
      <alignment horizontal="center" vertical="center"/>
      <protection hidden="1"/>
    </xf>
    <xf numFmtId="0" fontId="47" fillId="0" borderId="74" xfId="2" applyFont="1" applyBorder="1" applyAlignment="1" applyProtection="1">
      <alignment horizontal="center" vertical="center"/>
      <protection hidden="1"/>
    </xf>
    <xf numFmtId="0" fontId="47" fillId="0" borderId="75" xfId="2" applyFont="1" applyBorder="1" applyAlignment="1" applyProtection="1">
      <alignment horizontal="center" vertical="center"/>
      <protection hidden="1"/>
    </xf>
    <xf numFmtId="0" fontId="37" fillId="0" borderId="0" xfId="2" applyFont="1" applyBorder="1" applyProtection="1">
      <protection hidden="1"/>
    </xf>
    <xf numFmtId="0" fontId="14" fillId="0" borderId="0" xfId="2" applyFont="1" applyFill="1" applyBorder="1" applyAlignment="1" applyProtection="1">
      <alignment horizontal="left"/>
      <protection hidden="1"/>
    </xf>
    <xf numFmtId="165" fontId="9" fillId="0" borderId="0" xfId="2" applyNumberFormat="1" applyFont="1" applyAlignment="1" applyProtection="1">
      <alignment horizontal="center" vertical="center"/>
      <protection hidden="1"/>
    </xf>
    <xf numFmtId="171" fontId="9" fillId="0" borderId="55" xfId="2" applyNumberFormat="1" applyFont="1" applyBorder="1" applyAlignment="1" applyProtection="1">
      <alignment horizontal="center" vertical="center"/>
      <protection hidden="1"/>
    </xf>
    <xf numFmtId="165" fontId="47" fillId="0" borderId="0" xfId="2" applyNumberFormat="1" applyFont="1" applyBorder="1" applyAlignment="1" applyProtection="1">
      <alignment horizontal="center" vertical="center"/>
      <protection hidden="1"/>
    </xf>
    <xf numFmtId="0" fontId="9" fillId="0" borderId="22" xfId="2" applyNumberFormat="1" applyFont="1" applyBorder="1" applyAlignment="1" applyProtection="1">
      <alignment horizontal="center" vertical="center"/>
      <protection hidden="1"/>
    </xf>
    <xf numFmtId="0" fontId="14" fillId="0" borderId="0" xfId="2" applyFont="1" applyFill="1" applyBorder="1" applyAlignment="1" applyProtection="1">
      <alignment horizontal="left"/>
      <protection hidden="1"/>
    </xf>
    <xf numFmtId="0" fontId="35" fillId="0" borderId="0" xfId="2" applyFont="1" applyBorder="1" applyAlignment="1" applyProtection="1">
      <alignment horizontal="center" wrapText="1"/>
      <protection hidden="1"/>
    </xf>
    <xf numFmtId="170" fontId="52" fillId="0" borderId="51" xfId="1" applyNumberFormat="1" applyFont="1" applyBorder="1" applyAlignment="1" applyProtection="1">
      <alignment horizontal="center" vertical="center"/>
      <protection hidden="1"/>
    </xf>
    <xf numFmtId="170" fontId="52" fillId="0" borderId="56" xfId="1" applyNumberFormat="1" applyFont="1" applyBorder="1" applyAlignment="1" applyProtection="1">
      <alignment horizontal="center" vertical="center"/>
      <protection hidden="1"/>
    </xf>
    <xf numFmtId="170" fontId="52" fillId="0" borderId="58" xfId="1" applyNumberFormat="1" applyFont="1" applyBorder="1" applyAlignment="1" applyProtection="1">
      <alignment horizontal="center" vertical="center"/>
      <protection hidden="1"/>
    </xf>
    <xf numFmtId="170" fontId="9" fillId="0" borderId="30" xfId="2" applyNumberFormat="1" applyFont="1" applyBorder="1" applyAlignment="1" applyProtection="1">
      <alignment horizontal="center" vertical="center"/>
      <protection hidden="1"/>
    </xf>
    <xf numFmtId="0" fontId="9" fillId="0" borderId="30" xfId="2" applyNumberFormat="1" applyFont="1" applyBorder="1" applyAlignment="1" applyProtection="1">
      <alignment horizontal="center" vertical="center"/>
      <protection hidden="1"/>
    </xf>
    <xf numFmtId="0" fontId="47" fillId="0" borderId="44" xfId="2" applyFont="1" applyBorder="1" applyAlignment="1" applyProtection="1">
      <alignment horizontal="center" vertical="center"/>
      <protection hidden="1"/>
    </xf>
    <xf numFmtId="0" fontId="47" fillId="0" borderId="3" xfId="2" applyFont="1" applyBorder="1" applyAlignment="1" applyProtection="1">
      <alignment horizontal="center" vertical="center"/>
      <protection hidden="1"/>
    </xf>
    <xf numFmtId="0" fontId="47" fillId="0" borderId="2" xfId="2" applyFont="1" applyBorder="1" applyAlignment="1" applyProtection="1">
      <alignment horizontal="center" vertical="center"/>
      <protection hidden="1"/>
    </xf>
    <xf numFmtId="0" fontId="47" fillId="0" borderId="5" xfId="2" applyFont="1" applyBorder="1" applyAlignment="1" applyProtection="1">
      <alignment horizontal="center" vertical="center"/>
      <protection hidden="1"/>
    </xf>
    <xf numFmtId="0" fontId="47" fillId="0" borderId="7" xfId="2" applyFont="1" applyBorder="1" applyAlignment="1" applyProtection="1">
      <alignment horizontal="center" vertical="center"/>
      <protection hidden="1"/>
    </xf>
    <xf numFmtId="0" fontId="47" fillId="0" borderId="8" xfId="2" applyFont="1" applyBorder="1" applyAlignment="1" applyProtection="1">
      <alignment horizontal="center" vertical="center"/>
      <protection hidden="1"/>
    </xf>
    <xf numFmtId="170" fontId="52" fillId="0" borderId="28" xfId="1" applyNumberFormat="1" applyFont="1" applyBorder="1" applyAlignment="1" applyProtection="1">
      <alignment horizontal="center" vertical="center"/>
      <protection hidden="1"/>
    </xf>
    <xf numFmtId="170" fontId="52" fillId="0" borderId="0" xfId="1" applyNumberFormat="1" applyFont="1" applyBorder="1" applyAlignment="1" applyProtection="1">
      <alignment horizontal="center" vertical="center"/>
      <protection hidden="1"/>
    </xf>
    <xf numFmtId="170" fontId="52" fillId="0" borderId="29" xfId="1" applyNumberFormat="1" applyFont="1" applyBorder="1" applyAlignment="1" applyProtection="1">
      <alignment horizontal="center" vertical="center"/>
      <protection hidden="1"/>
    </xf>
    <xf numFmtId="170" fontId="9" fillId="0" borderId="22" xfId="2" applyNumberFormat="1" applyFont="1" applyBorder="1" applyAlignment="1" applyProtection="1">
      <alignment horizontal="center" vertical="center"/>
      <protection hidden="1"/>
    </xf>
    <xf numFmtId="170" fontId="47" fillId="0" borderId="44" xfId="1" applyNumberFormat="1" applyFont="1" applyBorder="1" applyAlignment="1" applyProtection="1">
      <alignment horizontal="center" vertical="center"/>
      <protection hidden="1"/>
    </xf>
    <xf numFmtId="170" fontId="47" fillId="0" borderId="3" xfId="1" applyNumberFormat="1" applyFont="1" applyBorder="1" applyAlignment="1" applyProtection="1">
      <alignment horizontal="center" vertical="center"/>
      <protection hidden="1"/>
    </xf>
    <xf numFmtId="170" fontId="47" fillId="0" borderId="2" xfId="1" applyNumberFormat="1" applyFont="1" applyBorder="1" applyAlignment="1" applyProtection="1">
      <alignment horizontal="center" vertical="center"/>
      <protection hidden="1"/>
    </xf>
    <xf numFmtId="170" fontId="47" fillId="0" borderId="5" xfId="1" applyNumberFormat="1" applyFont="1" applyBorder="1" applyAlignment="1" applyProtection="1">
      <alignment horizontal="center" vertical="center"/>
      <protection hidden="1"/>
    </xf>
    <xf numFmtId="170" fontId="47" fillId="0" borderId="7" xfId="1" applyNumberFormat="1" applyFont="1" applyBorder="1" applyAlignment="1" applyProtection="1">
      <alignment horizontal="center" vertical="center"/>
      <protection hidden="1"/>
    </xf>
    <xf numFmtId="170" fontId="47" fillId="0" borderId="8" xfId="1" applyNumberFormat="1" applyFont="1" applyBorder="1" applyAlignment="1" applyProtection="1">
      <alignment horizontal="center" vertical="center"/>
      <protection hidden="1"/>
    </xf>
    <xf numFmtId="0" fontId="9" fillId="0" borderId="55" xfId="2" applyFont="1" applyBorder="1" applyAlignment="1" applyProtection="1">
      <alignment horizontal="right" vertical="center"/>
      <protection hidden="1"/>
    </xf>
    <xf numFmtId="0" fontId="9" fillId="0" borderId="57" xfId="2" applyFont="1" applyBorder="1" applyAlignment="1" applyProtection="1">
      <alignment horizontal="right" vertical="center"/>
      <protection hidden="1"/>
    </xf>
    <xf numFmtId="0" fontId="47" fillId="0" borderId="51" xfId="2" applyFont="1" applyBorder="1" applyAlignment="1" applyProtection="1">
      <alignment horizontal="center" vertical="center"/>
      <protection hidden="1"/>
    </xf>
    <xf numFmtId="0" fontId="47" fillId="0" borderId="58" xfId="2" applyFont="1" applyBorder="1" applyAlignment="1" applyProtection="1">
      <alignment horizontal="center" vertical="center"/>
      <protection hidden="1"/>
    </xf>
    <xf numFmtId="0" fontId="53" fillId="0" borderId="30" xfId="2" applyFont="1" applyBorder="1" applyAlignment="1" applyProtection="1">
      <alignment horizontal="center" vertical="center" wrapText="1"/>
      <protection hidden="1"/>
    </xf>
    <xf numFmtId="0" fontId="9" fillId="0" borderId="0" xfId="2" applyNumberFormat="1" applyFont="1" applyBorder="1" applyAlignment="1" applyProtection="1">
      <alignment horizontal="center" vertical="center"/>
      <protection hidden="1"/>
    </xf>
    <xf numFmtId="170" fontId="9" fillId="0" borderId="0" xfId="2" applyNumberFormat="1" applyFont="1" applyBorder="1" applyAlignment="1" applyProtection="1">
      <alignment horizontal="center" vertical="center"/>
      <protection hidden="1"/>
    </xf>
    <xf numFmtId="164" fontId="49" fillId="0" borderId="30" xfId="2" applyNumberFormat="1" applyFont="1" applyBorder="1" applyAlignment="1" applyProtection="1">
      <alignment horizontal="center" vertical="center"/>
      <protection hidden="1"/>
    </xf>
    <xf numFmtId="164" fontId="49" fillId="0" borderId="20" xfId="2" applyNumberFormat="1" applyFont="1" applyBorder="1" applyAlignment="1" applyProtection="1">
      <alignment horizontal="center" vertical="center"/>
      <protection hidden="1"/>
    </xf>
    <xf numFmtId="164" fontId="49" fillId="0" borderId="21" xfId="2" applyNumberFormat="1" applyFont="1" applyBorder="1" applyAlignment="1" applyProtection="1">
      <alignment horizontal="center" vertical="center"/>
      <protection hidden="1"/>
    </xf>
    <xf numFmtId="164" fontId="49" fillId="0" borderId="22" xfId="2" applyNumberFormat="1" applyFont="1" applyBorder="1" applyAlignment="1" applyProtection="1">
      <alignment horizontal="center" vertical="center"/>
      <protection hidden="1"/>
    </xf>
    <xf numFmtId="0" fontId="52" fillId="0" borderId="20" xfId="2" applyFont="1" applyBorder="1" applyAlignment="1" applyProtection="1">
      <alignment horizontal="center" vertical="center"/>
      <protection hidden="1"/>
    </xf>
    <xf numFmtId="0" fontId="52" fillId="0" borderId="21" xfId="2" applyFont="1" applyBorder="1" applyAlignment="1" applyProtection="1">
      <alignment horizontal="center" vertical="center"/>
      <protection hidden="1"/>
    </xf>
    <xf numFmtId="0" fontId="52" fillId="0" borderId="22" xfId="2" applyFont="1" applyBorder="1" applyAlignment="1" applyProtection="1">
      <alignment horizontal="center" vertical="center"/>
      <protection hidden="1"/>
    </xf>
    <xf numFmtId="0" fontId="35" fillId="0" borderId="0" xfId="2" applyFont="1" applyBorder="1" applyAlignment="1" applyProtection="1">
      <alignment horizontal="center" wrapText="1"/>
      <protection hidden="1"/>
    </xf>
    <xf numFmtId="164" fontId="51" fillId="0" borderId="25" xfId="2" applyNumberFormat="1" applyFont="1" applyBorder="1" applyAlignment="1" applyProtection="1">
      <alignment horizontal="center" vertical="center"/>
      <protection hidden="1"/>
    </xf>
    <xf numFmtId="164" fontId="49" fillId="0" borderId="25" xfId="2" applyNumberFormat="1" applyFont="1" applyBorder="1" applyAlignment="1" applyProtection="1">
      <alignment horizontal="center" vertical="center"/>
      <protection hidden="1"/>
    </xf>
    <xf numFmtId="0" fontId="52" fillId="0" borderId="25" xfId="2" applyFont="1" applyBorder="1" applyAlignment="1" applyProtection="1">
      <alignment horizontal="center" vertical="center"/>
      <protection hidden="1"/>
    </xf>
    <xf numFmtId="0" fontId="35" fillId="0" borderId="0" xfId="2" applyFont="1" applyBorder="1" applyAlignment="1" applyProtection="1">
      <alignment horizontal="center" wrapText="1"/>
      <protection hidden="1"/>
    </xf>
    <xf numFmtId="0" fontId="55" fillId="0" borderId="0" xfId="2" applyFont="1" applyProtection="1">
      <protection hidden="1"/>
    </xf>
    <xf numFmtId="165" fontId="56" fillId="0" borderId="0" xfId="4" applyNumberFormat="1" applyFont="1" applyAlignment="1" applyProtection="1">
      <alignment horizontal="center" vertical="center"/>
      <protection hidden="1"/>
    </xf>
    <xf numFmtId="0" fontId="57" fillId="0" borderId="0" xfId="4" applyFont="1" applyAlignment="1" applyProtection="1">
      <alignment horizontal="center" textRotation="90"/>
      <protection hidden="1"/>
    </xf>
    <xf numFmtId="0" fontId="57" fillId="0" borderId="0" xfId="4" applyFont="1" applyBorder="1" applyAlignment="1" applyProtection="1">
      <alignment horizontal="center" vertical="center" textRotation="90"/>
      <protection hidden="1"/>
    </xf>
    <xf numFmtId="9" fontId="54" fillId="0" borderId="0" xfId="5" applyFont="1" applyBorder="1" applyAlignment="1" applyProtection="1">
      <alignment horizontal="center" vertical="center"/>
      <protection hidden="1"/>
    </xf>
    <xf numFmtId="0" fontId="58" fillId="0" borderId="0" xfId="2" applyFont="1" applyAlignment="1" applyProtection="1">
      <alignment horizontal="right" wrapText="1"/>
      <protection hidden="1"/>
    </xf>
    <xf numFmtId="164" fontId="49" fillId="0" borderId="50" xfId="2" applyNumberFormat="1" applyFont="1" applyBorder="1" applyAlignment="1" applyProtection="1">
      <alignment horizontal="center" vertical="center"/>
      <protection hidden="1"/>
    </xf>
    <xf numFmtId="164" fontId="51" fillId="0" borderId="0" xfId="2" applyNumberFormat="1" applyFont="1" applyBorder="1" applyAlignment="1" applyProtection="1">
      <alignment horizontal="center" vertical="center"/>
      <protection hidden="1"/>
    </xf>
    <xf numFmtId="1" fontId="7" fillId="0" borderId="0" xfId="2" applyNumberFormat="1" applyFont="1" applyAlignment="1" applyProtection="1">
      <alignment horizontal="center" textRotation="90" wrapText="1"/>
      <protection hidden="1"/>
    </xf>
    <xf numFmtId="1" fontId="8" fillId="0" borderId="0" xfId="2" applyNumberFormat="1" applyFont="1" applyAlignment="1" applyProtection="1">
      <alignment horizontal="center"/>
      <protection hidden="1"/>
    </xf>
    <xf numFmtId="1" fontId="24" fillId="0" borderId="20" xfId="2" applyNumberFormat="1" applyFont="1" applyBorder="1" applyAlignment="1" applyProtection="1">
      <alignment horizontal="center"/>
      <protection hidden="1"/>
    </xf>
    <xf numFmtId="1" fontId="24" fillId="0" borderId="21" xfId="2" applyNumberFormat="1" applyFont="1" applyBorder="1" applyAlignment="1" applyProtection="1">
      <alignment horizontal="center"/>
      <protection hidden="1"/>
    </xf>
    <xf numFmtId="1" fontId="24" fillId="0" borderId="22" xfId="2" applyNumberFormat="1" applyFont="1" applyBorder="1" applyAlignment="1" applyProtection="1">
      <alignment horizontal="center"/>
      <protection hidden="1"/>
    </xf>
    <xf numFmtId="0" fontId="35" fillId="0" borderId="0" xfId="2" applyFont="1" applyBorder="1" applyAlignment="1" applyProtection="1">
      <alignment horizontal="center" wrapText="1"/>
      <protection hidden="1"/>
    </xf>
    <xf numFmtId="164" fontId="49" fillId="0" borderId="24" xfId="2" applyNumberFormat="1" applyFont="1" applyBorder="1" applyAlignment="1" applyProtection="1">
      <alignment horizontal="center" vertical="center"/>
      <protection hidden="1"/>
    </xf>
    <xf numFmtId="164" fontId="49" fillId="0" borderId="25" xfId="2" applyNumberFormat="1" applyFont="1" applyBorder="1" applyAlignment="1" applyProtection="1">
      <alignment horizontal="center" vertical="center"/>
      <protection hidden="1"/>
    </xf>
    <xf numFmtId="0" fontId="37" fillId="6" borderId="7" xfId="2" applyFont="1" applyFill="1" applyBorder="1" applyAlignment="1" applyProtection="1">
      <alignment vertical="center"/>
      <protection hidden="1"/>
    </xf>
    <xf numFmtId="0" fontId="59" fillId="0" borderId="54" xfId="2" applyNumberFormat="1" applyFont="1" applyFill="1" applyBorder="1" applyAlignment="1" applyProtection="1">
      <alignment horizontal="left" vertical="top" wrapText="1"/>
      <protection hidden="1"/>
    </xf>
    <xf numFmtId="0" fontId="52" fillId="0" borderId="50" xfId="2" applyFont="1" applyBorder="1" applyAlignment="1" applyProtection="1">
      <alignment horizontal="center" vertical="center"/>
      <protection hidden="1"/>
    </xf>
    <xf numFmtId="164" fontId="47" fillId="0" borderId="74" xfId="2" applyNumberFormat="1" applyFont="1" applyBorder="1" applyAlignment="1" applyProtection="1">
      <alignment horizontal="center" vertical="center"/>
      <protection hidden="1"/>
    </xf>
    <xf numFmtId="164" fontId="47" fillId="0" borderId="75" xfId="2" applyNumberFormat="1" applyFont="1" applyBorder="1" applyAlignment="1" applyProtection="1">
      <alignment horizontal="center" vertical="center"/>
      <protection hidden="1"/>
    </xf>
    <xf numFmtId="164" fontId="52" fillId="0" borderId="25" xfId="2" applyNumberFormat="1" applyFont="1" applyBorder="1" applyAlignment="1" applyProtection="1">
      <alignment horizontal="center" vertical="center"/>
      <protection hidden="1"/>
    </xf>
    <xf numFmtId="164" fontId="52" fillId="0" borderId="30" xfId="2" applyNumberFormat="1" applyFont="1" applyBorder="1" applyAlignment="1" applyProtection="1">
      <alignment horizontal="center" vertical="center"/>
      <protection hidden="1"/>
    </xf>
    <xf numFmtId="0" fontId="36" fillId="0" borderId="0" xfId="0" applyFont="1" applyProtection="1">
      <protection hidden="1"/>
    </xf>
    <xf numFmtId="164" fontId="1" fillId="0" borderId="0" xfId="4" applyNumberFormat="1" applyFill="1" applyAlignment="1" applyProtection="1">
      <alignment horizontal="right"/>
      <protection hidden="1"/>
    </xf>
    <xf numFmtId="0" fontId="8" fillId="0" borderId="0" xfId="2" applyFont="1" applyAlignment="1" applyProtection="1">
      <alignment horizontal="right"/>
      <protection hidden="1"/>
    </xf>
    <xf numFmtId="0" fontId="1" fillId="0" borderId="0" xfId="4" applyFill="1" applyAlignment="1" applyProtection="1">
      <alignment horizontal="right"/>
      <protection hidden="1"/>
    </xf>
    <xf numFmtId="167" fontId="17" fillId="5" borderId="16" xfId="2" applyNumberFormat="1" applyFont="1" applyFill="1" applyBorder="1" applyAlignment="1" applyProtection="1">
      <alignment horizontal="right" vertical="center"/>
      <protection hidden="1"/>
    </xf>
    <xf numFmtId="1" fontId="47" fillId="0" borderId="20" xfId="2" applyNumberFormat="1" applyFont="1" applyBorder="1" applyAlignment="1" applyProtection="1">
      <alignment horizontal="center" vertical="center"/>
      <protection hidden="1"/>
    </xf>
    <xf numFmtId="170" fontId="47" fillId="0" borderId="22" xfId="1" applyNumberFormat="1" applyFont="1" applyBorder="1" applyAlignment="1" applyProtection="1">
      <alignment horizontal="center" vertical="center"/>
      <protection hidden="1"/>
    </xf>
    <xf numFmtId="0" fontId="25" fillId="0" borderId="0" xfId="0" applyFont="1" applyAlignment="1" applyProtection="1">
      <alignment horizontal="left" vertical="top" wrapText="1"/>
      <protection hidden="1"/>
    </xf>
    <xf numFmtId="165" fontId="47" fillId="0" borderId="23" xfId="2" applyNumberFormat="1" applyFont="1" applyBorder="1" applyAlignment="1" applyProtection="1">
      <alignment horizontal="center" vertical="center"/>
      <protection hidden="1"/>
    </xf>
    <xf numFmtId="173" fontId="49" fillId="0" borderId="24" xfId="2" applyNumberFormat="1" applyFont="1" applyBorder="1" applyAlignment="1" applyProtection="1">
      <alignment horizontal="center" vertical="center"/>
      <protection hidden="1"/>
    </xf>
    <xf numFmtId="164" fontId="49" fillId="0" borderId="5" xfId="2" applyNumberFormat="1" applyFont="1" applyBorder="1" applyAlignment="1" applyProtection="1">
      <alignment horizontal="center" vertical="center"/>
      <protection hidden="1"/>
    </xf>
    <xf numFmtId="165" fontId="47" fillId="0" borderId="55" xfId="2" applyNumberFormat="1" applyFont="1" applyBorder="1" applyAlignment="1" applyProtection="1">
      <alignment horizontal="center" vertical="center"/>
      <protection hidden="1"/>
    </xf>
    <xf numFmtId="173" fontId="49" fillId="0" borderId="51" xfId="2" applyNumberFormat="1" applyFont="1" applyBorder="1" applyAlignment="1" applyProtection="1">
      <alignment horizontal="center" vertical="center"/>
      <protection hidden="1"/>
    </xf>
    <xf numFmtId="165" fontId="47" fillId="0" borderId="50" xfId="2" applyNumberFormat="1" applyFont="1" applyBorder="1" applyAlignment="1" applyProtection="1">
      <alignment horizontal="center" vertical="center"/>
      <protection hidden="1"/>
    </xf>
    <xf numFmtId="173" fontId="49" fillId="0" borderId="56" xfId="2" applyNumberFormat="1" applyFont="1" applyBorder="1" applyAlignment="1" applyProtection="1">
      <alignment horizontal="center" vertical="center"/>
      <protection hidden="1"/>
    </xf>
    <xf numFmtId="165" fontId="47" fillId="0" borderId="57" xfId="2" applyNumberFormat="1" applyFont="1" applyBorder="1" applyAlignment="1" applyProtection="1">
      <alignment horizontal="center" vertical="center"/>
      <protection hidden="1"/>
    </xf>
    <xf numFmtId="173" fontId="49" fillId="0" borderId="58" xfId="2" applyNumberFormat="1" applyFont="1" applyBorder="1" applyAlignment="1" applyProtection="1">
      <alignment horizontal="center" vertical="center"/>
      <protection hidden="1"/>
    </xf>
    <xf numFmtId="173" fontId="49" fillId="0" borderId="20" xfId="2" applyNumberFormat="1" applyFont="1" applyBorder="1" applyAlignment="1" applyProtection="1">
      <alignment horizontal="center" vertical="center"/>
      <protection hidden="1"/>
    </xf>
    <xf numFmtId="173" fontId="49" fillId="0" borderId="21" xfId="2" applyNumberFormat="1" applyFont="1" applyBorder="1" applyAlignment="1" applyProtection="1">
      <alignment horizontal="center" vertical="center"/>
      <protection hidden="1"/>
    </xf>
    <xf numFmtId="173" fontId="49" fillId="0" borderId="22" xfId="2" applyNumberFormat="1" applyFont="1" applyBorder="1" applyAlignment="1" applyProtection="1">
      <alignment horizontal="center" vertical="center"/>
      <protection hidden="1"/>
    </xf>
    <xf numFmtId="0" fontId="24" fillId="0" borderId="0" xfId="0" applyFont="1" applyAlignment="1" applyProtection="1">
      <alignment horizontal="left" vertical="top" wrapText="1"/>
      <protection hidden="1"/>
    </xf>
    <xf numFmtId="165" fontId="9" fillId="0" borderId="30" xfId="2" applyNumberFormat="1" applyFont="1" applyBorder="1" applyAlignment="1" applyProtection="1">
      <alignment horizontal="center" vertical="center"/>
      <protection hidden="1"/>
    </xf>
    <xf numFmtId="165" fontId="9" fillId="0" borderId="51" xfId="2" applyNumberFormat="1" applyFont="1" applyBorder="1" applyAlignment="1" applyProtection="1">
      <alignment horizontal="center" vertical="center"/>
      <protection hidden="1"/>
    </xf>
    <xf numFmtId="165" fontId="9" fillId="0" borderId="56" xfId="2" applyNumberFormat="1" applyFont="1" applyBorder="1" applyAlignment="1" applyProtection="1">
      <alignment horizontal="center" vertical="center"/>
      <protection hidden="1"/>
    </xf>
    <xf numFmtId="165" fontId="9" fillId="0" borderId="58" xfId="2" applyNumberFormat="1" applyFont="1" applyBorder="1" applyAlignment="1" applyProtection="1">
      <alignment horizontal="center" vertical="center"/>
      <protection hidden="1"/>
    </xf>
    <xf numFmtId="0" fontId="24" fillId="0" borderId="0" xfId="0" applyFont="1" applyAlignment="1" applyProtection="1">
      <alignment vertical="top" wrapText="1"/>
      <protection hidden="1"/>
    </xf>
    <xf numFmtId="0" fontId="24" fillId="0" borderId="0" xfId="0" applyFont="1" applyAlignment="1" applyProtection="1">
      <alignment horizontal="left" vertical="top" wrapText="1"/>
      <protection hidden="1"/>
    </xf>
    <xf numFmtId="0" fontId="9" fillId="8" borderId="2" xfId="2" applyFont="1" applyFill="1" applyBorder="1" applyAlignment="1" applyProtection="1">
      <alignment horizontal="center"/>
      <protection hidden="1"/>
    </xf>
    <xf numFmtId="0" fontId="9" fillId="8" borderId="0" xfId="2" applyFont="1" applyFill="1" applyBorder="1" applyProtection="1">
      <protection hidden="1"/>
    </xf>
    <xf numFmtId="164" fontId="9" fillId="8" borderId="0" xfId="2" applyNumberFormat="1" applyFont="1" applyFill="1" applyBorder="1" applyProtection="1">
      <protection hidden="1"/>
    </xf>
    <xf numFmtId="0" fontId="9" fillId="8" borderId="0" xfId="2" applyFont="1" applyFill="1" applyBorder="1" applyAlignment="1" applyProtection="1">
      <alignment horizontal="right"/>
      <protection hidden="1"/>
    </xf>
    <xf numFmtId="164" fontId="9" fillId="8" borderId="0" xfId="2" applyNumberFormat="1" applyFont="1" applyFill="1" applyBorder="1" applyAlignment="1" applyProtection="1">
      <alignment horizontal="right"/>
      <protection hidden="1"/>
    </xf>
    <xf numFmtId="0" fontId="32" fillId="8" borderId="0" xfId="2" applyFont="1" applyFill="1" applyBorder="1" applyAlignment="1" applyProtection="1">
      <alignment horizontal="right"/>
      <protection hidden="1"/>
    </xf>
    <xf numFmtId="9" fontId="58" fillId="0" borderId="0" xfId="2" applyNumberFormat="1" applyFont="1" applyAlignment="1" applyProtection="1">
      <alignment horizontal="right" wrapText="1"/>
      <protection hidden="1"/>
    </xf>
    <xf numFmtId="9" fontId="24" fillId="0" borderId="0" xfId="8" applyFont="1" applyFill="1" applyBorder="1" applyAlignment="1" applyProtection="1">
      <alignment horizontal="center" vertical="center"/>
      <protection hidden="1"/>
    </xf>
    <xf numFmtId="9" fontId="24" fillId="0" borderId="0" xfId="8" applyFont="1" applyFill="1" applyBorder="1" applyAlignment="1" applyProtection="1">
      <alignment horizontal="center"/>
      <protection hidden="1"/>
    </xf>
    <xf numFmtId="20" fontId="24" fillId="3" borderId="78" xfId="7" applyNumberFormat="1" applyFont="1" applyFill="1" applyBorder="1" applyAlignment="1" applyProtection="1">
      <alignment horizontal="center"/>
      <protection hidden="1"/>
    </xf>
    <xf numFmtId="20" fontId="24" fillId="3" borderId="79" xfId="7" applyNumberFormat="1" applyFont="1" applyFill="1" applyBorder="1" applyAlignment="1" applyProtection="1">
      <alignment horizontal="center"/>
      <protection hidden="1"/>
    </xf>
    <xf numFmtId="164" fontId="24" fillId="7" borderId="78" xfId="2" applyNumberFormat="1" applyFont="1" applyFill="1" applyBorder="1" applyAlignment="1" applyProtection="1">
      <alignment horizontal="center" vertical="center"/>
      <protection hidden="1"/>
    </xf>
    <xf numFmtId="164" fontId="24" fillId="7" borderId="79" xfId="2" applyNumberFormat="1" applyFont="1" applyFill="1" applyBorder="1" applyAlignment="1" applyProtection="1">
      <alignment horizontal="center" vertical="center"/>
      <protection hidden="1"/>
    </xf>
    <xf numFmtId="9" fontId="24" fillId="0" borderId="53" xfId="8" applyFont="1" applyFill="1" applyBorder="1" applyAlignment="1" applyProtection="1">
      <alignment horizontal="center" vertical="center"/>
      <protection hidden="1"/>
    </xf>
    <xf numFmtId="164" fontId="21" fillId="7" borderId="78" xfId="2" applyNumberFormat="1" applyFont="1" applyFill="1" applyBorder="1" applyAlignment="1" applyProtection="1">
      <alignment horizontal="center" vertical="center"/>
      <protection hidden="1"/>
    </xf>
    <xf numFmtId="164" fontId="21" fillId="7" borderId="79" xfId="2" applyNumberFormat="1" applyFont="1" applyFill="1" applyBorder="1" applyAlignment="1" applyProtection="1">
      <alignment horizontal="center" vertical="center"/>
      <protection hidden="1"/>
    </xf>
    <xf numFmtId="20" fontId="24" fillId="3" borderId="80" xfId="7" applyNumberFormat="1" applyFont="1" applyFill="1" applyBorder="1" applyAlignment="1" applyProtection="1">
      <alignment horizontal="center"/>
      <protection hidden="1"/>
    </xf>
    <xf numFmtId="164" fontId="24" fillId="3" borderId="80" xfId="2" applyNumberFormat="1" applyFont="1" applyFill="1" applyBorder="1" applyAlignment="1" applyProtection="1">
      <alignment horizontal="center" vertical="center"/>
      <protection hidden="1"/>
    </xf>
    <xf numFmtId="164" fontId="21" fillId="3" borderId="80" xfId="2" applyNumberFormat="1" applyFont="1" applyFill="1" applyBorder="1" applyAlignment="1" applyProtection="1">
      <alignment horizontal="center" vertical="center"/>
      <protection hidden="1"/>
    </xf>
    <xf numFmtId="0" fontId="21" fillId="0" borderId="52" xfId="2" applyFont="1" applyFill="1" applyBorder="1" applyAlignment="1" applyProtection="1">
      <alignment horizontal="center"/>
      <protection hidden="1"/>
    </xf>
    <xf numFmtId="164" fontId="21" fillId="0" borderId="52" xfId="2" applyNumberFormat="1" applyFont="1" applyFill="1" applyBorder="1" applyAlignment="1" applyProtection="1">
      <alignment horizontal="center" vertical="center"/>
      <protection hidden="1"/>
    </xf>
    <xf numFmtId="9" fontId="24" fillId="0" borderId="52" xfId="8" applyFont="1" applyFill="1" applyBorder="1" applyAlignment="1" applyProtection="1">
      <alignment horizontal="center" vertical="center"/>
      <protection hidden="1"/>
    </xf>
    <xf numFmtId="20" fontId="24" fillId="3" borderId="81" xfId="7" applyNumberFormat="1" applyFont="1" applyFill="1" applyBorder="1" applyAlignment="1" applyProtection="1">
      <alignment horizontal="center"/>
      <protection hidden="1"/>
    </xf>
    <xf numFmtId="164" fontId="24" fillId="7" borderId="81" xfId="2" applyNumberFormat="1" applyFont="1" applyFill="1" applyBorder="1" applyAlignment="1" applyProtection="1">
      <alignment horizontal="center" vertical="center"/>
      <protection hidden="1"/>
    </xf>
    <xf numFmtId="164" fontId="21" fillId="7" borderId="81" xfId="2" applyNumberFormat="1" applyFont="1" applyFill="1" applyBorder="1" applyAlignment="1" applyProtection="1">
      <alignment horizontal="center" vertical="center"/>
      <protection hidden="1"/>
    </xf>
    <xf numFmtId="20" fontId="24" fillId="3" borderId="82" xfId="7" applyNumberFormat="1" applyFont="1" applyFill="1" applyBorder="1" applyAlignment="1" applyProtection="1">
      <alignment horizontal="center"/>
      <protection hidden="1"/>
    </xf>
    <xf numFmtId="164" fontId="24" fillId="7" borderId="82" xfId="2" applyNumberFormat="1" applyFont="1" applyFill="1" applyBorder="1" applyAlignment="1" applyProtection="1">
      <alignment horizontal="center" vertical="center"/>
      <protection hidden="1"/>
    </xf>
    <xf numFmtId="164" fontId="21" fillId="7" borderId="82" xfId="2" applyNumberFormat="1" applyFont="1" applyFill="1" applyBorder="1" applyAlignment="1" applyProtection="1">
      <alignment horizontal="center" vertical="center"/>
      <protection hidden="1"/>
    </xf>
    <xf numFmtId="20" fontId="24" fillId="3" borderId="83" xfId="7" applyNumberFormat="1" applyFont="1" applyFill="1" applyBorder="1" applyAlignment="1" applyProtection="1">
      <alignment horizontal="center"/>
      <protection hidden="1"/>
    </xf>
    <xf numFmtId="164" fontId="24" fillId="7" borderId="83" xfId="2" applyNumberFormat="1" applyFont="1" applyFill="1" applyBorder="1" applyAlignment="1" applyProtection="1">
      <alignment horizontal="center" vertical="center"/>
      <protection hidden="1"/>
    </xf>
    <xf numFmtId="164" fontId="21" fillId="7" borderId="83" xfId="2" applyNumberFormat="1" applyFont="1" applyFill="1" applyBorder="1" applyAlignment="1" applyProtection="1">
      <alignment horizontal="center" vertical="center"/>
      <protection hidden="1"/>
    </xf>
    <xf numFmtId="20" fontId="24" fillId="3" borderId="73" xfId="7" applyNumberFormat="1" applyFont="1" applyFill="1" applyBorder="1" applyAlignment="1" applyProtection="1">
      <alignment horizontal="center"/>
      <protection hidden="1"/>
    </xf>
    <xf numFmtId="164" fontId="24" fillId="7" borderId="73" xfId="2" applyNumberFormat="1" applyFont="1" applyFill="1" applyBorder="1" applyAlignment="1" applyProtection="1">
      <alignment horizontal="center" vertical="center"/>
      <protection hidden="1"/>
    </xf>
    <xf numFmtId="164" fontId="21" fillId="7" borderId="73" xfId="2" applyNumberFormat="1" applyFont="1" applyFill="1" applyBorder="1" applyAlignment="1" applyProtection="1">
      <alignment horizontal="center" vertical="center"/>
      <protection hidden="1"/>
    </xf>
    <xf numFmtId="164" fontId="24" fillId="3" borderId="83" xfId="2" applyNumberFormat="1" applyFont="1" applyFill="1" applyBorder="1" applyAlignment="1" applyProtection="1">
      <alignment horizontal="center" vertical="center"/>
      <protection hidden="1"/>
    </xf>
    <xf numFmtId="164" fontId="21" fillId="3" borderId="83" xfId="2" applyNumberFormat="1" applyFont="1" applyFill="1" applyBorder="1" applyAlignment="1" applyProtection="1">
      <alignment horizontal="center" vertical="center"/>
      <protection hidden="1"/>
    </xf>
    <xf numFmtId="164" fontId="24" fillId="3" borderId="82" xfId="2" applyNumberFormat="1" applyFont="1" applyFill="1" applyBorder="1" applyAlignment="1" applyProtection="1">
      <alignment horizontal="center" vertical="center"/>
      <protection hidden="1"/>
    </xf>
    <xf numFmtId="164" fontId="21" fillId="3" borderId="82" xfId="2" applyNumberFormat="1" applyFont="1" applyFill="1" applyBorder="1" applyAlignment="1" applyProtection="1">
      <alignment horizontal="center" vertical="center"/>
      <protection hidden="1"/>
    </xf>
    <xf numFmtId="20" fontId="24" fillId="3" borderId="53" xfId="7" applyNumberFormat="1" applyFont="1" applyFill="1" applyBorder="1" applyAlignment="1" applyProtection="1">
      <alignment horizontal="center"/>
      <protection hidden="1"/>
    </xf>
    <xf numFmtId="164" fontId="24" fillId="7" borderId="53" xfId="2" applyNumberFormat="1" applyFont="1" applyFill="1" applyBorder="1" applyAlignment="1" applyProtection="1">
      <alignment horizontal="center" vertical="center"/>
      <protection hidden="1"/>
    </xf>
    <xf numFmtId="164" fontId="21" fillId="7" borderId="53" xfId="2" applyNumberFormat="1" applyFont="1" applyFill="1" applyBorder="1" applyAlignment="1" applyProtection="1">
      <alignment horizontal="center" vertical="center"/>
      <protection hidden="1"/>
    </xf>
    <xf numFmtId="3" fontId="62" fillId="4" borderId="4" xfId="1" applyNumberFormat="1" applyFont="1" applyFill="1" applyBorder="1" applyAlignment="1" applyProtection="1">
      <alignment horizontal="center" vertical="center"/>
      <protection hidden="1"/>
    </xf>
    <xf numFmtId="3" fontId="62" fillId="6" borderId="1" xfId="1" applyNumberFormat="1" applyFont="1" applyFill="1" applyBorder="1" applyAlignment="1" applyProtection="1">
      <alignment horizontal="center" vertical="center"/>
      <protection hidden="1"/>
    </xf>
    <xf numFmtId="164" fontId="17" fillId="5" borderId="15" xfId="2" applyNumberFormat="1" applyFont="1" applyFill="1" applyBorder="1" applyAlignment="1" applyProtection="1">
      <alignment horizontal="right" vertical="center"/>
      <protection hidden="1"/>
    </xf>
    <xf numFmtId="0" fontId="60" fillId="0" borderId="0" xfId="0" applyFont="1" applyAlignment="1" applyProtection="1">
      <alignment vertical="top" wrapText="1"/>
      <protection hidden="1"/>
    </xf>
    <xf numFmtId="0" fontId="63" fillId="0" borderId="0" xfId="0" applyFont="1" applyAlignment="1" applyProtection="1">
      <alignment horizontal="center" vertical="center" wrapText="1"/>
      <protection hidden="1"/>
    </xf>
    <xf numFmtId="0" fontId="60" fillId="0" borderId="0" xfId="0" applyFont="1" applyAlignment="1" applyProtection="1">
      <alignment horizontal="left" vertical="top" wrapText="1"/>
      <protection hidden="1"/>
    </xf>
    <xf numFmtId="0" fontId="9" fillId="0" borderId="55" xfId="2" applyFont="1" applyBorder="1" applyAlignment="1" applyProtection="1">
      <alignment horizontal="right"/>
      <protection hidden="1"/>
    </xf>
    <xf numFmtId="0" fontId="9" fillId="0" borderId="51" xfId="2" applyFont="1" applyBorder="1" applyAlignment="1" applyProtection="1">
      <alignment vertical="center"/>
      <protection hidden="1"/>
    </xf>
    <xf numFmtId="0" fontId="9" fillId="0" borderId="50" xfId="2" applyFont="1" applyBorder="1" applyAlignment="1" applyProtection="1">
      <alignment horizontal="right" vertical="center"/>
      <protection hidden="1"/>
    </xf>
    <xf numFmtId="0" fontId="9" fillId="0" borderId="56" xfId="2" applyFont="1" applyBorder="1" applyAlignment="1" applyProtection="1">
      <alignment vertical="center"/>
      <protection hidden="1"/>
    </xf>
    <xf numFmtId="0" fontId="9" fillId="0" borderId="58" xfId="2" applyFont="1" applyBorder="1" applyAlignment="1" applyProtection="1">
      <alignment vertical="center"/>
      <protection hidden="1"/>
    </xf>
    <xf numFmtId="165" fontId="9" fillId="0" borderId="51" xfId="2" applyNumberFormat="1" applyFont="1" applyBorder="1" applyAlignment="1" applyProtection="1">
      <alignment horizontal="left" vertical="center"/>
      <protection hidden="1"/>
    </xf>
    <xf numFmtId="0" fontId="9" fillId="0" borderId="57" xfId="2" applyFont="1" applyBorder="1" applyAlignment="1" applyProtection="1">
      <alignment horizontal="right" vertical="top"/>
      <protection hidden="1"/>
    </xf>
    <xf numFmtId="0" fontId="9" fillId="0" borderId="58" xfId="2" applyFont="1" applyBorder="1" applyAlignment="1" applyProtection="1">
      <alignment horizontal="left" vertical="top"/>
      <protection hidden="1"/>
    </xf>
    <xf numFmtId="0" fontId="67" fillId="0" borderId="0" xfId="2" applyFont="1" applyAlignment="1" applyProtection="1">
      <alignment horizontal="left"/>
      <protection hidden="1"/>
    </xf>
    <xf numFmtId="0" fontId="68" fillId="0" borderId="85" xfId="0" applyFont="1" applyBorder="1" applyAlignment="1">
      <alignment horizontal="right"/>
    </xf>
    <xf numFmtId="0" fontId="69" fillId="0" borderId="0" xfId="2" applyFont="1" applyBorder="1" applyAlignment="1" applyProtection="1">
      <alignment horizontal="center" wrapText="1"/>
      <protection hidden="1"/>
    </xf>
    <xf numFmtId="0" fontId="69" fillId="0" borderId="0" xfId="2" applyFont="1" applyProtection="1">
      <protection hidden="1"/>
    </xf>
    <xf numFmtId="0" fontId="9" fillId="0" borderId="58" xfId="2" applyFont="1" applyBorder="1" applyAlignment="1" applyProtection="1">
      <alignment horizontal="center" vertical="center"/>
      <protection hidden="1"/>
    </xf>
    <xf numFmtId="0" fontId="9" fillId="0" borderId="51" xfId="2" applyFont="1" applyBorder="1" applyAlignment="1" applyProtection="1">
      <alignment horizontal="center" vertical="center"/>
      <protection hidden="1"/>
    </xf>
    <xf numFmtId="165" fontId="47" fillId="0" borderId="51" xfId="2" applyNumberFormat="1" applyFont="1" applyBorder="1" applyAlignment="1" applyProtection="1">
      <alignment horizontal="center" vertical="center"/>
      <protection hidden="1"/>
    </xf>
    <xf numFmtId="165" fontId="47" fillId="0" borderId="56" xfId="2" applyNumberFormat="1" applyFont="1" applyBorder="1" applyAlignment="1" applyProtection="1">
      <alignment horizontal="center" vertical="center"/>
      <protection hidden="1"/>
    </xf>
    <xf numFmtId="165" fontId="47" fillId="0" borderId="58" xfId="2" applyNumberFormat="1" applyFont="1" applyBorder="1" applyAlignment="1" applyProtection="1">
      <alignment horizontal="center" vertical="center"/>
      <protection hidden="1"/>
    </xf>
    <xf numFmtId="165" fontId="14" fillId="0" borderId="20" xfId="2" applyNumberFormat="1" applyFont="1" applyBorder="1" applyAlignment="1" applyProtection="1">
      <alignment horizontal="center" vertical="center"/>
      <protection hidden="1"/>
    </xf>
    <xf numFmtId="165" fontId="14" fillId="0" borderId="21" xfId="2" applyNumberFormat="1" applyFont="1" applyBorder="1" applyAlignment="1" applyProtection="1">
      <alignment horizontal="center" vertical="center"/>
      <protection hidden="1"/>
    </xf>
    <xf numFmtId="165" fontId="14" fillId="0" borderId="22" xfId="2" applyNumberFormat="1" applyFont="1" applyBorder="1" applyAlignment="1" applyProtection="1">
      <alignment horizontal="center" vertical="center"/>
      <protection hidden="1"/>
    </xf>
    <xf numFmtId="0" fontId="35" fillId="0" borderId="0" xfId="2" applyFont="1" applyBorder="1" applyAlignment="1" applyProtection="1">
      <alignment horizontal="center" wrapText="1"/>
      <protection hidden="1"/>
    </xf>
    <xf numFmtId="170" fontId="9" fillId="0" borderId="0" xfId="1" applyNumberFormat="1" applyFont="1" applyBorder="1" applyAlignment="1" applyProtection="1">
      <alignment horizontal="center" vertical="center"/>
      <protection hidden="1"/>
    </xf>
    <xf numFmtId="164" fontId="3" fillId="0" borderId="44" xfId="2" applyNumberFormat="1" applyBorder="1" applyProtection="1">
      <protection hidden="1"/>
    </xf>
    <xf numFmtId="20" fontId="3" fillId="0" borderId="3" xfId="2" applyNumberFormat="1" applyBorder="1" applyProtection="1">
      <protection hidden="1"/>
    </xf>
    <xf numFmtId="164" fontId="3" fillId="0" borderId="2" xfId="2" applyNumberFormat="1" applyBorder="1" applyProtection="1">
      <protection hidden="1"/>
    </xf>
    <xf numFmtId="20" fontId="3" fillId="0" borderId="5" xfId="2" applyNumberFormat="1" applyBorder="1" applyProtection="1">
      <protection hidden="1"/>
    </xf>
    <xf numFmtId="164" fontId="3" fillId="0" borderId="7" xfId="2" applyNumberFormat="1" applyBorder="1" applyProtection="1">
      <protection hidden="1"/>
    </xf>
    <xf numFmtId="20" fontId="3" fillId="0" borderId="8" xfId="2" applyNumberFormat="1" applyBorder="1" applyProtection="1">
      <protection hidden="1"/>
    </xf>
    <xf numFmtId="164" fontId="35" fillId="0" borderId="3" xfId="2" applyNumberFormat="1" applyFont="1" applyBorder="1" applyAlignment="1" applyProtection="1">
      <alignment horizontal="center" vertical="center"/>
      <protection hidden="1"/>
    </xf>
    <xf numFmtId="20" fontId="9" fillId="0" borderId="2" xfId="2" applyNumberFormat="1" applyFont="1" applyBorder="1" applyAlignment="1" applyProtection="1">
      <alignment horizontal="center" vertical="center"/>
      <protection hidden="1"/>
    </xf>
    <xf numFmtId="20" fontId="9" fillId="0" borderId="5" xfId="2" applyNumberFormat="1" applyFont="1" applyBorder="1" applyAlignment="1" applyProtection="1">
      <alignment horizontal="center" vertical="center"/>
      <protection hidden="1"/>
    </xf>
    <xf numFmtId="0" fontId="9" fillId="0" borderId="5" xfId="2" applyFont="1" applyBorder="1" applyAlignment="1" applyProtection="1">
      <alignment horizontal="center" vertical="center"/>
      <protection hidden="1"/>
    </xf>
    <xf numFmtId="164" fontId="9" fillId="0" borderId="2" xfId="2" applyNumberFormat="1" applyFont="1" applyBorder="1" applyAlignment="1" applyProtection="1">
      <alignment horizontal="center" vertical="center"/>
      <protection hidden="1"/>
    </xf>
    <xf numFmtId="164" fontId="9" fillId="0" borderId="5" xfId="2" applyNumberFormat="1" applyFont="1" applyBorder="1" applyAlignment="1" applyProtection="1">
      <alignment horizontal="center" vertical="center"/>
      <protection hidden="1"/>
    </xf>
    <xf numFmtId="20" fontId="9" fillId="0" borderId="7" xfId="2" applyNumberFormat="1" applyFont="1" applyBorder="1" applyAlignment="1" applyProtection="1">
      <alignment horizontal="center" vertical="center"/>
      <protection hidden="1"/>
    </xf>
    <xf numFmtId="20" fontId="9" fillId="0" borderId="8" xfId="2" applyNumberFormat="1" applyFont="1" applyBorder="1" applyAlignment="1" applyProtection="1">
      <alignment horizontal="center" vertical="center"/>
      <protection hidden="1"/>
    </xf>
    <xf numFmtId="0" fontId="24" fillId="0" borderId="59" xfId="0" applyFont="1" applyBorder="1" applyProtection="1">
      <protection hidden="1"/>
    </xf>
    <xf numFmtId="20" fontId="24" fillId="0" borderId="59" xfId="0" applyNumberFormat="1" applyFont="1" applyBorder="1" applyAlignment="1" applyProtection="1">
      <alignment horizontal="right"/>
      <protection hidden="1"/>
    </xf>
    <xf numFmtId="0" fontId="2" fillId="0" borderId="84" xfId="0" applyFont="1" applyBorder="1" applyProtection="1">
      <protection hidden="1"/>
    </xf>
    <xf numFmtId="0" fontId="0" fillId="0" borderId="84" xfId="0" applyFont="1" applyBorder="1" applyAlignment="1" applyProtection="1">
      <alignment horizontal="right"/>
      <protection hidden="1"/>
    </xf>
    <xf numFmtId="0" fontId="2" fillId="0" borderId="84" xfId="0" applyFont="1" applyBorder="1" applyAlignment="1" applyProtection="1">
      <alignment vertical="top"/>
      <protection hidden="1"/>
    </xf>
    <xf numFmtId="0" fontId="2" fillId="0" borderId="0" xfId="2" applyFont="1" applyFill="1" applyBorder="1" applyAlignment="1" applyProtection="1">
      <alignment horizontal="center" vertical="center"/>
      <protection hidden="1"/>
    </xf>
    <xf numFmtId="0" fontId="0" fillId="0" borderId="0" xfId="2" applyFont="1" applyFill="1" applyBorder="1" applyAlignment="1" applyProtection="1">
      <alignment horizontal="center" vertical="center" wrapText="1"/>
      <protection hidden="1"/>
    </xf>
    <xf numFmtId="0" fontId="2" fillId="0" borderId="0" xfId="2" applyFont="1" applyFill="1" applyBorder="1" applyAlignment="1" applyProtection="1">
      <alignment horizontal="center" vertical="center" wrapText="1"/>
      <protection hidden="1"/>
    </xf>
    <xf numFmtId="20" fontId="24" fillId="0" borderId="0" xfId="7" applyNumberFormat="1" applyFont="1" applyFill="1" applyBorder="1" applyAlignment="1" applyProtection="1">
      <alignment horizontal="center"/>
      <protection hidden="1"/>
    </xf>
    <xf numFmtId="164" fontId="24" fillId="0" borderId="0" xfId="2" applyNumberFormat="1" applyFont="1" applyFill="1" applyBorder="1" applyAlignment="1" applyProtection="1">
      <alignment horizontal="center" vertical="center"/>
      <protection hidden="1"/>
    </xf>
    <xf numFmtId="164" fontId="21" fillId="0" borderId="0" xfId="2" applyNumberFormat="1" applyFont="1" applyFill="1" applyBorder="1" applyAlignment="1" applyProtection="1">
      <alignment horizontal="center" vertical="center"/>
      <protection hidden="1"/>
    </xf>
    <xf numFmtId="0" fontId="21" fillId="0" borderId="0" xfId="2" applyFont="1" applyFill="1" applyBorder="1" applyAlignment="1" applyProtection="1">
      <alignment horizontal="center"/>
      <protection hidden="1"/>
    </xf>
    <xf numFmtId="0" fontId="2" fillId="0" borderId="0" xfId="2" applyFont="1" applyFill="1" applyBorder="1" applyAlignment="1" applyProtection="1">
      <alignment horizontal="center"/>
      <protection hidden="1"/>
    </xf>
    <xf numFmtId="164" fontId="2" fillId="0" borderId="0" xfId="2" applyNumberFormat="1" applyFont="1" applyFill="1" applyBorder="1" applyAlignment="1" applyProtection="1">
      <alignment horizontal="center" vertical="center"/>
      <protection hidden="1"/>
    </xf>
    <xf numFmtId="0" fontId="0" fillId="0" borderId="0" xfId="0" applyFont="1" applyFill="1" applyBorder="1" applyProtection="1">
      <protection hidden="1"/>
    </xf>
    <xf numFmtId="167" fontId="10" fillId="0" borderId="86" xfId="2" applyNumberFormat="1" applyFont="1" applyBorder="1" applyAlignment="1" applyProtection="1">
      <alignment horizontal="center" vertical="center" wrapText="1"/>
      <protection hidden="1"/>
    </xf>
    <xf numFmtId="0" fontId="10" fillId="0" borderId="87" xfId="2" applyNumberFormat="1" applyFont="1" applyFill="1" applyBorder="1" applyAlignment="1" applyProtection="1">
      <alignment horizontal="center" vertical="center"/>
      <protection hidden="1"/>
    </xf>
    <xf numFmtId="0" fontId="10" fillId="0" borderId="88" xfId="2" applyNumberFormat="1" applyFont="1" applyFill="1" applyBorder="1" applyAlignment="1" applyProtection="1">
      <alignment horizontal="center" vertical="center"/>
      <protection hidden="1"/>
    </xf>
    <xf numFmtId="171" fontId="10" fillId="0" borderId="26" xfId="2" applyNumberFormat="1" applyFont="1" applyFill="1" applyBorder="1" applyAlignment="1" applyProtection="1">
      <alignment horizontal="center" vertical="center"/>
      <protection hidden="1"/>
    </xf>
    <xf numFmtId="167" fontId="13" fillId="6" borderId="6" xfId="2" applyNumberFormat="1" applyFont="1" applyFill="1" applyBorder="1" applyAlignment="1" applyProtection="1">
      <alignment horizontal="left" vertical="center"/>
      <protection hidden="1"/>
    </xf>
    <xf numFmtId="0" fontId="22" fillId="5" borderId="62" xfId="2" applyFont="1" applyFill="1" applyBorder="1" applyAlignment="1" applyProtection="1">
      <alignment horizontal="right" vertical="center"/>
      <protection hidden="1"/>
    </xf>
    <xf numFmtId="0" fontId="22" fillId="5" borderId="6" xfId="2" applyFont="1" applyFill="1" applyBorder="1" applyAlignment="1" applyProtection="1">
      <alignment horizontal="right" vertical="center"/>
      <protection hidden="1"/>
    </xf>
    <xf numFmtId="0" fontId="22" fillId="5" borderId="63" xfId="2" applyFont="1" applyFill="1" applyBorder="1" applyAlignment="1" applyProtection="1">
      <alignment horizontal="right" vertical="center"/>
      <protection hidden="1"/>
    </xf>
    <xf numFmtId="0" fontId="47" fillId="0" borderId="20" xfId="2" applyNumberFormat="1" applyFont="1" applyBorder="1" applyAlignment="1" applyProtection="1">
      <alignment horizontal="center" vertical="center"/>
      <protection hidden="1"/>
    </xf>
    <xf numFmtId="0" fontId="47" fillId="0" borderId="21" xfId="2" applyNumberFormat="1" applyFont="1" applyBorder="1" applyAlignment="1" applyProtection="1">
      <alignment horizontal="center" vertical="center"/>
      <protection hidden="1"/>
    </xf>
    <xf numFmtId="0" fontId="47" fillId="0" borderId="22" xfId="2" applyNumberFormat="1" applyFont="1" applyBorder="1" applyAlignment="1" applyProtection="1">
      <alignment horizontal="center" vertical="center"/>
      <protection hidden="1"/>
    </xf>
    <xf numFmtId="0" fontId="35" fillId="0" borderId="0" xfId="2" applyFont="1" applyBorder="1" applyAlignment="1" applyProtection="1">
      <alignment horizontal="left" vertical="top"/>
      <protection hidden="1"/>
    </xf>
    <xf numFmtId="0" fontId="72" fillId="0" borderId="52" xfId="0" applyFont="1" applyBorder="1" applyAlignment="1" applyProtection="1">
      <alignment horizontal="center" vertical="center"/>
      <protection hidden="1"/>
    </xf>
    <xf numFmtId="0" fontId="73" fillId="0" borderId="53" xfId="0" applyFont="1" applyBorder="1" applyAlignment="1" applyProtection="1">
      <alignment horizontal="center" vertical="center"/>
      <protection hidden="1"/>
    </xf>
    <xf numFmtId="0" fontId="73" fillId="0" borderId="52" xfId="0" applyFont="1" applyBorder="1" applyAlignment="1" applyProtection="1">
      <alignment horizontal="center" vertical="center" wrapText="1"/>
      <protection hidden="1"/>
    </xf>
    <xf numFmtId="0" fontId="74" fillId="0" borderId="52" xfId="0" applyFont="1" applyBorder="1" applyAlignment="1" applyProtection="1">
      <alignment horizontal="center" vertical="center"/>
      <protection hidden="1"/>
    </xf>
    <xf numFmtId="0" fontId="75" fillId="0" borderId="53" xfId="0" applyFont="1" applyBorder="1" applyAlignment="1" applyProtection="1">
      <alignment horizontal="center" vertical="center"/>
      <protection hidden="1"/>
    </xf>
    <xf numFmtId="0" fontId="75" fillId="0" borderId="52" xfId="0" applyFont="1" applyBorder="1" applyAlignment="1" applyProtection="1">
      <alignment horizontal="center" vertical="center" wrapText="1"/>
      <protection hidden="1"/>
    </xf>
    <xf numFmtId="0" fontId="75" fillId="0" borderId="52" xfId="0" applyFont="1" applyBorder="1" applyAlignment="1" applyProtection="1">
      <alignment horizontal="center" vertical="center"/>
      <protection hidden="1"/>
    </xf>
    <xf numFmtId="164" fontId="35" fillId="0" borderId="44" xfId="2" applyNumberFormat="1" applyFont="1" applyBorder="1" applyAlignment="1" applyProtection="1">
      <alignment horizontal="center" vertical="center"/>
      <protection hidden="1"/>
    </xf>
    <xf numFmtId="0" fontId="35" fillId="0" borderId="2" xfId="2" applyFont="1" applyBorder="1" applyAlignment="1" applyProtection="1">
      <alignment horizontal="center" vertical="center"/>
      <protection hidden="1"/>
    </xf>
    <xf numFmtId="0" fontId="35" fillId="0" borderId="5" xfId="2" applyFont="1" applyBorder="1" applyAlignment="1" applyProtection="1">
      <alignment horizontal="center" vertical="center"/>
      <protection hidden="1"/>
    </xf>
    <xf numFmtId="0" fontId="23" fillId="0" borderId="29" xfId="0" applyFont="1" applyBorder="1" applyAlignment="1" applyProtection="1">
      <protection hidden="1"/>
    </xf>
    <xf numFmtId="0" fontId="23" fillId="0" borderId="29" xfId="0" applyFont="1" applyBorder="1" applyAlignment="1" applyProtection="1">
      <alignment horizontal="left"/>
      <protection hidden="1"/>
    </xf>
    <xf numFmtId="164" fontId="9" fillId="0" borderId="0" xfId="2" applyNumberFormat="1" applyFont="1" applyBorder="1" applyAlignment="1" applyProtection="1">
      <alignment horizontal="left"/>
      <protection hidden="1"/>
    </xf>
    <xf numFmtId="0" fontId="7" fillId="0" borderId="0" xfId="2" applyFont="1" applyAlignment="1" applyProtection="1">
      <alignment horizontal="left" textRotation="60" wrapText="1"/>
      <protection hidden="1"/>
    </xf>
    <xf numFmtId="164" fontId="7" fillId="0" borderId="0" xfId="2" applyNumberFormat="1" applyFont="1" applyAlignment="1" applyProtection="1">
      <alignment horizontal="left" textRotation="60" wrapText="1"/>
      <protection hidden="1"/>
    </xf>
    <xf numFmtId="0" fontId="35" fillId="2" borderId="2" xfId="2" applyFont="1" applyFill="1" applyBorder="1" applyAlignment="1" applyProtection="1">
      <alignment horizontal="center"/>
      <protection hidden="1"/>
    </xf>
    <xf numFmtId="0" fontId="35" fillId="8" borderId="2" xfId="2" applyFont="1" applyFill="1" applyBorder="1" applyAlignment="1" applyProtection="1">
      <alignment horizontal="center"/>
      <protection hidden="1"/>
    </xf>
    <xf numFmtId="0" fontId="9" fillId="0" borderId="90" xfId="2" applyFont="1" applyBorder="1" applyProtection="1">
      <protection hidden="1"/>
    </xf>
    <xf numFmtId="0" fontId="9" fillId="2" borderId="55" xfId="2" applyFont="1" applyFill="1" applyBorder="1" applyAlignment="1" applyProtection="1">
      <alignment horizontal="right"/>
      <protection hidden="1"/>
    </xf>
    <xf numFmtId="0" fontId="9" fillId="2" borderId="28" xfId="2" applyFont="1" applyFill="1" applyBorder="1" applyAlignment="1" applyProtection="1">
      <alignment horizontal="right"/>
      <protection hidden="1"/>
    </xf>
    <xf numFmtId="0" fontId="9" fillId="2" borderId="51" xfId="2" applyFont="1" applyFill="1" applyBorder="1" applyAlignment="1" applyProtection="1">
      <alignment horizontal="right"/>
      <protection hidden="1"/>
    </xf>
    <xf numFmtId="0" fontId="9" fillId="2" borderId="50" xfId="2" applyFont="1" applyFill="1" applyBorder="1" applyAlignment="1" applyProtection="1">
      <alignment horizontal="right"/>
      <protection hidden="1"/>
    </xf>
    <xf numFmtId="0" fontId="9" fillId="2" borderId="56" xfId="2" applyFont="1" applyFill="1" applyBorder="1" applyAlignment="1" applyProtection="1">
      <alignment horizontal="right"/>
      <protection hidden="1"/>
    </xf>
    <xf numFmtId="0" fontId="9" fillId="2" borderId="57" xfId="2" applyFont="1" applyFill="1" applyBorder="1" applyAlignment="1" applyProtection="1">
      <alignment horizontal="right"/>
      <protection hidden="1"/>
    </xf>
    <xf numFmtId="0" fontId="9" fillId="2" borderId="29" xfId="2" applyFont="1" applyFill="1" applyBorder="1" applyAlignment="1" applyProtection="1">
      <alignment horizontal="right"/>
      <protection hidden="1"/>
    </xf>
    <xf numFmtId="0" fontId="9" fillId="2" borderId="58" xfId="2" applyFont="1" applyFill="1" applyBorder="1" applyAlignment="1" applyProtection="1">
      <alignment horizontal="right"/>
      <protection hidden="1"/>
    </xf>
    <xf numFmtId="0" fontId="9" fillId="8" borderId="55" xfId="2" applyFont="1" applyFill="1" applyBorder="1" applyAlignment="1" applyProtection="1">
      <alignment horizontal="right"/>
      <protection hidden="1"/>
    </xf>
    <xf numFmtId="0" fontId="9" fillId="8" borderId="28" xfId="2" applyFont="1" applyFill="1" applyBorder="1" applyAlignment="1" applyProtection="1">
      <alignment horizontal="right"/>
      <protection hidden="1"/>
    </xf>
    <xf numFmtId="0" fontId="9" fillId="8" borderId="51" xfId="2" applyFont="1" applyFill="1" applyBorder="1" applyAlignment="1" applyProtection="1">
      <alignment horizontal="right"/>
      <protection hidden="1"/>
    </xf>
    <xf numFmtId="0" fontId="9" fillId="8" borderId="50" xfId="2" applyFont="1" applyFill="1" applyBorder="1" applyAlignment="1" applyProtection="1">
      <alignment horizontal="right"/>
      <protection hidden="1"/>
    </xf>
    <xf numFmtId="0" fontId="9" fillId="8" borderId="56" xfId="2" applyFont="1" applyFill="1" applyBorder="1" applyAlignment="1" applyProtection="1">
      <alignment horizontal="right"/>
      <protection hidden="1"/>
    </xf>
    <xf numFmtId="0" fontId="9" fillId="8" borderId="57" xfId="2" applyFont="1" applyFill="1" applyBorder="1" applyAlignment="1" applyProtection="1">
      <alignment horizontal="right"/>
      <protection hidden="1"/>
    </xf>
    <xf numFmtId="0" fontId="9" fillId="8" borderId="29" xfId="2" applyFont="1" applyFill="1" applyBorder="1" applyAlignment="1" applyProtection="1">
      <alignment horizontal="right"/>
      <protection hidden="1"/>
    </xf>
    <xf numFmtId="0" fontId="9" fillId="8" borderId="58" xfId="2" applyFont="1" applyFill="1" applyBorder="1" applyAlignment="1" applyProtection="1">
      <alignment horizontal="right"/>
      <protection hidden="1"/>
    </xf>
    <xf numFmtId="0" fontId="9" fillId="2" borderId="20" xfId="2" applyFont="1" applyFill="1" applyBorder="1" applyAlignment="1" applyProtection="1">
      <alignment horizontal="center"/>
      <protection hidden="1"/>
    </xf>
    <xf numFmtId="0" fontId="9" fillId="2" borderId="21" xfId="2" applyFont="1" applyFill="1" applyBorder="1" applyAlignment="1" applyProtection="1">
      <alignment horizontal="center"/>
      <protection hidden="1"/>
    </xf>
    <xf numFmtId="0" fontId="9" fillId="2" borderId="22" xfId="2" applyFont="1" applyFill="1" applyBorder="1" applyAlignment="1" applyProtection="1">
      <alignment horizontal="center"/>
      <protection hidden="1"/>
    </xf>
    <xf numFmtId="0" fontId="9" fillId="8" borderId="20" xfId="2" applyFont="1" applyFill="1" applyBorder="1" applyAlignment="1" applyProtection="1">
      <alignment horizontal="center"/>
      <protection hidden="1"/>
    </xf>
    <xf numFmtId="0" fontId="9" fillId="8" borderId="21" xfId="2" applyFont="1" applyFill="1" applyBorder="1" applyAlignment="1" applyProtection="1">
      <alignment horizontal="center"/>
      <protection hidden="1"/>
    </xf>
    <xf numFmtId="0" fontId="9" fillId="8" borderId="22" xfId="2" applyFont="1" applyFill="1" applyBorder="1" applyAlignment="1" applyProtection="1">
      <alignment horizontal="center"/>
      <protection hidden="1"/>
    </xf>
    <xf numFmtId="0" fontId="9" fillId="2" borderId="55" xfId="2" applyFont="1" applyFill="1" applyBorder="1" applyProtection="1">
      <protection hidden="1"/>
    </xf>
    <xf numFmtId="0" fontId="9" fillId="2" borderId="28" xfId="2" applyFont="1" applyFill="1" applyBorder="1" applyProtection="1">
      <protection hidden="1"/>
    </xf>
    <xf numFmtId="0" fontId="9" fillId="2" borderId="51" xfId="2" applyFont="1" applyFill="1" applyBorder="1" applyProtection="1">
      <protection hidden="1"/>
    </xf>
    <xf numFmtId="0" fontId="9" fillId="2" borderId="50" xfId="2" applyFont="1" applyFill="1" applyBorder="1" applyProtection="1">
      <protection hidden="1"/>
    </xf>
    <xf numFmtId="0" fontId="9" fillId="2" borderId="56" xfId="2" applyFont="1" applyFill="1" applyBorder="1" applyProtection="1">
      <protection hidden="1"/>
    </xf>
    <xf numFmtId="0" fontId="9" fillId="2" borderId="57" xfId="2" applyFont="1" applyFill="1" applyBorder="1" applyProtection="1">
      <protection hidden="1"/>
    </xf>
    <xf numFmtId="0" fontId="9" fillId="2" borderId="29" xfId="2" applyFont="1" applyFill="1" applyBorder="1" applyProtection="1">
      <protection hidden="1"/>
    </xf>
    <xf numFmtId="0" fontId="9" fillId="2" borderId="58" xfId="2" applyFont="1" applyFill="1" applyBorder="1" applyProtection="1">
      <protection hidden="1"/>
    </xf>
    <xf numFmtId="0" fontId="9" fillId="8" borderId="55" xfId="2" applyFont="1" applyFill="1" applyBorder="1" applyProtection="1">
      <protection hidden="1"/>
    </xf>
    <xf numFmtId="0" fontId="9" fillId="8" borderId="28" xfId="2" applyFont="1" applyFill="1" applyBorder="1" applyProtection="1">
      <protection hidden="1"/>
    </xf>
    <xf numFmtId="0" fontId="9" fillId="8" borderId="51" xfId="2" applyFont="1" applyFill="1" applyBorder="1" applyProtection="1">
      <protection hidden="1"/>
    </xf>
    <xf numFmtId="0" fontId="9" fillId="8" borderId="50" xfId="2" applyFont="1" applyFill="1" applyBorder="1" applyProtection="1">
      <protection hidden="1"/>
    </xf>
    <xf numFmtId="0" fontId="9" fillId="8" borderId="56" xfId="2" applyFont="1" applyFill="1" applyBorder="1" applyProtection="1">
      <protection hidden="1"/>
    </xf>
    <xf numFmtId="0" fontId="9" fillId="8" borderId="57" xfId="2" applyFont="1" applyFill="1" applyBorder="1" applyProtection="1">
      <protection hidden="1"/>
    </xf>
    <xf numFmtId="0" fontId="9" fillId="8" borderId="29" xfId="2" applyFont="1" applyFill="1" applyBorder="1" applyProtection="1">
      <protection hidden="1"/>
    </xf>
    <xf numFmtId="0" fontId="9" fillId="8" borderId="58" xfId="2" applyFont="1" applyFill="1" applyBorder="1" applyProtection="1">
      <protection hidden="1"/>
    </xf>
    <xf numFmtId="164" fontId="9" fillId="2" borderId="28" xfId="2" applyNumberFormat="1" applyFont="1" applyFill="1" applyBorder="1" applyProtection="1">
      <protection hidden="1"/>
    </xf>
    <xf numFmtId="164" fontId="9" fillId="2" borderId="51" xfId="2" applyNumberFormat="1" applyFont="1" applyFill="1" applyBorder="1" applyProtection="1">
      <protection hidden="1"/>
    </xf>
    <xf numFmtId="164" fontId="9" fillId="2" borderId="56" xfId="2" applyNumberFormat="1" applyFont="1" applyFill="1" applyBorder="1" applyProtection="1">
      <protection hidden="1"/>
    </xf>
    <xf numFmtId="164" fontId="9" fillId="2" borderId="29" xfId="2" applyNumberFormat="1" applyFont="1" applyFill="1" applyBorder="1" applyProtection="1">
      <protection hidden="1"/>
    </xf>
    <xf numFmtId="164" fontId="9" fillId="2" borderId="58" xfId="2" applyNumberFormat="1" applyFont="1" applyFill="1" applyBorder="1" applyProtection="1">
      <protection hidden="1"/>
    </xf>
    <xf numFmtId="164" fontId="9" fillId="8" borderId="28" xfId="2" applyNumberFormat="1" applyFont="1" applyFill="1" applyBorder="1" applyProtection="1">
      <protection hidden="1"/>
    </xf>
    <xf numFmtId="164" fontId="9" fillId="8" borderId="51" xfId="2" applyNumberFormat="1" applyFont="1" applyFill="1" applyBorder="1" applyProtection="1">
      <protection hidden="1"/>
    </xf>
    <xf numFmtId="164" fontId="9" fillId="8" borderId="56" xfId="2" applyNumberFormat="1" applyFont="1" applyFill="1" applyBorder="1" applyProtection="1">
      <protection hidden="1"/>
    </xf>
    <xf numFmtId="164" fontId="9" fillId="8" borderId="29" xfId="2" applyNumberFormat="1" applyFont="1" applyFill="1" applyBorder="1" applyProtection="1">
      <protection hidden="1"/>
    </xf>
    <xf numFmtId="164" fontId="9" fillId="8" borderId="58" xfId="2" applyNumberFormat="1" applyFont="1" applyFill="1" applyBorder="1" applyProtection="1">
      <protection hidden="1"/>
    </xf>
    <xf numFmtId="0" fontId="9" fillId="0" borderId="91" xfId="2" applyFont="1" applyBorder="1" applyProtection="1">
      <protection hidden="1"/>
    </xf>
    <xf numFmtId="0" fontId="9" fillId="0" borderId="92" xfId="2" applyFont="1" applyBorder="1" applyProtection="1">
      <protection hidden="1"/>
    </xf>
    <xf numFmtId="0" fontId="9" fillId="0" borderId="93" xfId="2" applyFont="1" applyBorder="1" applyProtection="1">
      <protection hidden="1"/>
    </xf>
    <xf numFmtId="0" fontId="9" fillId="0" borderId="94" xfId="2" applyFont="1" applyBorder="1" applyProtection="1">
      <protection hidden="1"/>
    </xf>
    <xf numFmtId="164" fontId="9" fillId="2" borderId="28" xfId="2" applyNumberFormat="1" applyFont="1" applyFill="1" applyBorder="1" applyAlignment="1" applyProtection="1">
      <alignment horizontal="right"/>
      <protection hidden="1"/>
    </xf>
    <xf numFmtId="0" fontId="32" fillId="2" borderId="28" xfId="2" applyFont="1" applyFill="1" applyBorder="1" applyAlignment="1" applyProtection="1">
      <alignment horizontal="right"/>
      <protection hidden="1"/>
    </xf>
    <xf numFmtId="164" fontId="32" fillId="2" borderId="28" xfId="2" applyNumberFormat="1" applyFont="1" applyFill="1" applyBorder="1" applyAlignment="1" applyProtection="1">
      <alignment horizontal="right"/>
      <protection hidden="1"/>
    </xf>
    <xf numFmtId="164" fontId="32" fillId="2" borderId="51" xfId="2" applyNumberFormat="1" applyFont="1" applyFill="1" applyBorder="1" applyAlignment="1" applyProtection="1">
      <alignment horizontal="right"/>
      <protection hidden="1"/>
    </xf>
    <xf numFmtId="0" fontId="32" fillId="2" borderId="56" xfId="2" applyFont="1" applyFill="1" applyBorder="1" applyAlignment="1" applyProtection="1">
      <alignment horizontal="right"/>
      <protection hidden="1"/>
    </xf>
    <xf numFmtId="164" fontId="9" fillId="2" borderId="29" xfId="2" applyNumberFormat="1" applyFont="1" applyFill="1" applyBorder="1" applyAlignment="1" applyProtection="1">
      <alignment horizontal="right"/>
      <protection hidden="1"/>
    </xf>
    <xf numFmtId="0" fontId="32" fillId="2" borderId="29" xfId="2" applyFont="1" applyFill="1" applyBorder="1" applyAlignment="1" applyProtection="1">
      <alignment horizontal="right"/>
      <protection hidden="1"/>
    </xf>
    <xf numFmtId="164" fontId="32" fillId="2" borderId="29" xfId="2" applyNumberFormat="1" applyFont="1" applyFill="1" applyBorder="1" applyAlignment="1" applyProtection="1">
      <alignment horizontal="right"/>
      <protection hidden="1"/>
    </xf>
    <xf numFmtId="164" fontId="32" fillId="2" borderId="58" xfId="2" applyNumberFormat="1" applyFont="1" applyFill="1" applyBorder="1" applyAlignment="1" applyProtection="1">
      <alignment horizontal="right"/>
      <protection hidden="1"/>
    </xf>
    <xf numFmtId="164" fontId="9" fillId="8" borderId="28" xfId="2" applyNumberFormat="1" applyFont="1" applyFill="1" applyBorder="1" applyAlignment="1" applyProtection="1">
      <alignment horizontal="right"/>
      <protection hidden="1"/>
    </xf>
    <xf numFmtId="0" fontId="32" fillId="8" borderId="28" xfId="2" applyFont="1" applyFill="1" applyBorder="1" applyAlignment="1" applyProtection="1">
      <alignment horizontal="right"/>
      <protection hidden="1"/>
    </xf>
    <xf numFmtId="164" fontId="32" fillId="8" borderId="28" xfId="2" applyNumberFormat="1" applyFont="1" applyFill="1" applyBorder="1" applyAlignment="1" applyProtection="1">
      <alignment horizontal="right"/>
      <protection hidden="1"/>
    </xf>
    <xf numFmtId="164" fontId="32" fillId="8" borderId="51" xfId="2" applyNumberFormat="1" applyFont="1" applyFill="1" applyBorder="1" applyAlignment="1" applyProtection="1">
      <alignment horizontal="right"/>
      <protection hidden="1"/>
    </xf>
    <xf numFmtId="0" fontId="32" fillId="8" borderId="56" xfId="2" applyFont="1" applyFill="1" applyBorder="1" applyAlignment="1" applyProtection="1">
      <alignment horizontal="right"/>
      <protection hidden="1"/>
    </xf>
    <xf numFmtId="164" fontId="9" fillId="8" borderId="29" xfId="2" applyNumberFormat="1" applyFont="1" applyFill="1" applyBorder="1" applyAlignment="1" applyProtection="1">
      <alignment horizontal="right"/>
      <protection hidden="1"/>
    </xf>
    <xf numFmtId="0" fontId="32" fillId="8" borderId="29" xfId="2" applyFont="1" applyFill="1" applyBorder="1" applyAlignment="1" applyProtection="1">
      <alignment horizontal="right"/>
      <protection hidden="1"/>
    </xf>
    <xf numFmtId="164" fontId="32" fillId="8" borderId="29" xfId="2" applyNumberFormat="1" applyFont="1" applyFill="1" applyBorder="1" applyAlignment="1" applyProtection="1">
      <alignment horizontal="right"/>
      <protection hidden="1"/>
    </xf>
    <xf numFmtId="164" fontId="32" fillId="8" borderId="58" xfId="2" applyNumberFormat="1" applyFont="1" applyFill="1" applyBorder="1" applyAlignment="1" applyProtection="1">
      <alignment horizontal="right"/>
      <protection hidden="1"/>
    </xf>
    <xf numFmtId="0" fontId="9" fillId="0" borderId="95" xfId="2" applyFont="1" applyBorder="1" applyProtection="1">
      <protection hidden="1"/>
    </xf>
    <xf numFmtId="0" fontId="9" fillId="0" borderId="96" xfId="2" applyFont="1" applyBorder="1" applyProtection="1">
      <protection hidden="1"/>
    </xf>
    <xf numFmtId="164" fontId="9" fillId="0" borderId="96" xfId="2" applyNumberFormat="1" applyFont="1" applyBorder="1" applyProtection="1">
      <protection hidden="1"/>
    </xf>
    <xf numFmtId="164" fontId="9" fillId="0" borderId="97" xfId="2" applyNumberFormat="1" applyFont="1" applyBorder="1" applyProtection="1">
      <protection hidden="1"/>
    </xf>
    <xf numFmtId="0" fontId="9" fillId="0" borderId="98" xfId="2" applyFont="1" applyBorder="1" applyProtection="1">
      <protection hidden="1"/>
    </xf>
    <xf numFmtId="164" fontId="9" fillId="0" borderId="99" xfId="2" applyNumberFormat="1" applyFont="1" applyBorder="1" applyProtection="1">
      <protection hidden="1"/>
    </xf>
    <xf numFmtId="0" fontId="9" fillId="0" borderId="100" xfId="2" applyFont="1" applyBorder="1" applyProtection="1">
      <protection hidden="1"/>
    </xf>
    <xf numFmtId="164" fontId="9" fillId="0" borderId="101" xfId="2" applyNumberFormat="1" applyFont="1" applyBorder="1" applyProtection="1">
      <protection hidden="1"/>
    </xf>
    <xf numFmtId="0" fontId="9" fillId="0" borderId="102" xfId="2" applyFont="1" applyBorder="1" applyProtection="1">
      <protection hidden="1"/>
    </xf>
    <xf numFmtId="164" fontId="9" fillId="0" borderId="103" xfId="2" applyNumberFormat="1" applyFont="1" applyBorder="1" applyProtection="1">
      <protection hidden="1"/>
    </xf>
    <xf numFmtId="0" fontId="9" fillId="0" borderId="104" xfId="2" applyFont="1" applyBorder="1" applyProtection="1">
      <protection hidden="1"/>
    </xf>
    <xf numFmtId="0" fontId="9" fillId="0" borderId="105" xfId="2" applyFont="1" applyBorder="1" applyProtection="1">
      <protection hidden="1"/>
    </xf>
    <xf numFmtId="164" fontId="9" fillId="0" borderId="105" xfId="2" applyNumberFormat="1" applyFont="1" applyBorder="1" applyProtection="1">
      <protection hidden="1"/>
    </xf>
    <xf numFmtId="164" fontId="9" fillId="0" borderId="106" xfId="2" applyNumberFormat="1" applyFont="1" applyBorder="1" applyProtection="1">
      <protection hidden="1"/>
    </xf>
    <xf numFmtId="0" fontId="9" fillId="0" borderId="107" xfId="2" applyFont="1" applyBorder="1" applyProtection="1">
      <protection hidden="1"/>
    </xf>
    <xf numFmtId="0" fontId="9" fillId="0" borderId="97" xfId="2" applyFont="1" applyBorder="1" applyProtection="1">
      <protection hidden="1"/>
    </xf>
    <xf numFmtId="0" fontId="9" fillId="0" borderId="99" xfId="2" applyFont="1" applyBorder="1" applyProtection="1">
      <protection hidden="1"/>
    </xf>
    <xf numFmtId="0" fontId="9" fillId="0" borderId="101" xfId="2" applyFont="1" applyBorder="1" applyProtection="1">
      <protection hidden="1"/>
    </xf>
    <xf numFmtId="0" fontId="9" fillId="0" borderId="103" xfId="2" applyFont="1" applyBorder="1" applyProtection="1">
      <protection hidden="1"/>
    </xf>
    <xf numFmtId="0" fontId="9" fillId="0" borderId="106" xfId="2" applyFont="1" applyBorder="1" applyProtection="1">
      <protection hidden="1"/>
    </xf>
    <xf numFmtId="165" fontId="9" fillId="2" borderId="2" xfId="2" applyNumberFormat="1" applyFont="1" applyFill="1" applyBorder="1" applyAlignment="1" applyProtection="1">
      <alignment horizontal="center"/>
      <protection hidden="1"/>
    </xf>
    <xf numFmtId="165" fontId="9" fillId="8" borderId="2" xfId="2" applyNumberFormat="1" applyFont="1" applyFill="1" applyBorder="1" applyAlignment="1" applyProtection="1">
      <alignment horizontal="center"/>
      <protection hidden="1"/>
    </xf>
    <xf numFmtId="0" fontId="9" fillId="0" borderId="55" xfId="2" applyFont="1" applyBorder="1" applyProtection="1">
      <protection hidden="1"/>
    </xf>
    <xf numFmtId="0" fontId="9" fillId="0" borderId="28" xfId="2" applyFont="1" applyBorder="1" applyProtection="1">
      <protection hidden="1"/>
    </xf>
    <xf numFmtId="0" fontId="9" fillId="0" borderId="28" xfId="2" applyFont="1" applyBorder="1" applyAlignment="1" applyProtection="1">
      <alignment horizontal="center"/>
      <protection hidden="1"/>
    </xf>
    <xf numFmtId="164" fontId="9" fillId="0" borderId="28" xfId="2" applyNumberFormat="1" applyFont="1" applyBorder="1" applyProtection="1">
      <protection hidden="1"/>
    </xf>
    <xf numFmtId="0" fontId="9" fillId="0" borderId="50" xfId="2" applyFont="1" applyBorder="1" applyProtection="1">
      <protection hidden="1"/>
    </xf>
    <xf numFmtId="0" fontId="9" fillId="0" borderId="57" xfId="2" applyFont="1" applyBorder="1" applyProtection="1">
      <protection hidden="1"/>
    </xf>
    <xf numFmtId="0" fontId="9" fillId="0" borderId="29" xfId="2" applyFont="1" applyBorder="1" applyProtection="1">
      <protection hidden="1"/>
    </xf>
    <xf numFmtId="0" fontId="9" fillId="0" borderId="29" xfId="2" applyFont="1" applyBorder="1" applyAlignment="1" applyProtection="1">
      <alignment horizontal="center"/>
      <protection hidden="1"/>
    </xf>
    <xf numFmtId="164" fontId="9" fillId="0" borderId="29" xfId="2" applyNumberFormat="1" applyFont="1" applyBorder="1" applyProtection="1">
      <protection hidden="1"/>
    </xf>
    <xf numFmtId="0" fontId="9" fillId="2" borderId="0" xfId="2" applyFont="1" applyFill="1" applyBorder="1" applyAlignment="1" applyProtection="1">
      <alignment horizontal="center"/>
      <protection hidden="1"/>
    </xf>
    <xf numFmtId="0" fontId="9" fillId="8" borderId="0" xfId="2" applyFont="1" applyFill="1" applyBorder="1" applyAlignment="1" applyProtection="1">
      <alignment horizontal="center"/>
      <protection hidden="1"/>
    </xf>
    <xf numFmtId="0" fontId="9" fillId="0" borderId="108" xfId="2" applyFont="1" applyBorder="1" applyProtection="1">
      <protection hidden="1"/>
    </xf>
    <xf numFmtId="0" fontId="9" fillId="0" borderId="109" xfId="2" applyFont="1" applyBorder="1" applyProtection="1">
      <protection hidden="1"/>
    </xf>
    <xf numFmtId="0" fontId="9" fillId="0" borderId="110" xfId="2" applyFont="1" applyBorder="1" applyProtection="1">
      <protection hidden="1"/>
    </xf>
    <xf numFmtId="0" fontId="42" fillId="2" borderId="24" xfId="2" applyFont="1" applyFill="1" applyBorder="1" applyAlignment="1" applyProtection="1">
      <alignment horizontal="right" textRotation="90"/>
      <protection hidden="1"/>
    </xf>
    <xf numFmtId="0" fontId="42" fillId="2" borderId="24" xfId="2" applyFont="1" applyFill="1" applyBorder="1" applyAlignment="1" applyProtection="1">
      <alignment horizontal="center" textRotation="90"/>
      <protection hidden="1"/>
    </xf>
    <xf numFmtId="164" fontId="42" fillId="2" borderId="24" xfId="2" applyNumberFormat="1" applyFont="1" applyFill="1" applyBorder="1" applyAlignment="1" applyProtection="1">
      <alignment horizontal="right" textRotation="90"/>
      <protection hidden="1"/>
    </xf>
    <xf numFmtId="164" fontId="42" fillId="2" borderId="25" xfId="2" applyNumberFormat="1" applyFont="1" applyFill="1" applyBorder="1" applyAlignment="1" applyProtection="1">
      <alignment horizontal="right" textRotation="90"/>
      <protection hidden="1"/>
    </xf>
    <xf numFmtId="0" fontId="42" fillId="8" borderId="24" xfId="2" applyFont="1" applyFill="1" applyBorder="1" applyAlignment="1" applyProtection="1">
      <alignment horizontal="right" textRotation="90"/>
      <protection hidden="1"/>
    </xf>
    <xf numFmtId="0" fontId="42" fillId="8" borderId="24" xfId="2" applyFont="1" applyFill="1" applyBorder="1" applyAlignment="1" applyProtection="1">
      <alignment horizontal="center" textRotation="90"/>
      <protection hidden="1"/>
    </xf>
    <xf numFmtId="9" fontId="42" fillId="8" borderId="24" xfId="2" applyNumberFormat="1" applyFont="1" applyFill="1" applyBorder="1" applyAlignment="1" applyProtection="1">
      <alignment horizontal="right" textRotation="90"/>
      <protection hidden="1"/>
    </xf>
    <xf numFmtId="0" fontId="42" fillId="8" borderId="25" xfId="2" applyFont="1" applyFill="1" applyBorder="1" applyAlignment="1" applyProtection="1">
      <alignment horizontal="right" textRotation="90"/>
      <protection hidden="1"/>
    </xf>
    <xf numFmtId="0" fontId="9" fillId="2" borderId="34" xfId="2" applyFont="1" applyFill="1" applyBorder="1" applyAlignment="1" applyProtection="1">
      <alignment horizontal="center"/>
      <protection hidden="1"/>
    </xf>
    <xf numFmtId="0" fontId="9" fillId="8" borderId="34" xfId="2" applyFont="1" applyFill="1" applyBorder="1" applyAlignment="1" applyProtection="1">
      <alignment horizontal="center"/>
      <protection hidden="1"/>
    </xf>
    <xf numFmtId="165" fontId="9" fillId="2" borderId="34" xfId="2" applyNumberFormat="1" applyFont="1" applyFill="1" applyBorder="1" applyAlignment="1" applyProtection="1">
      <alignment horizontal="center"/>
      <protection hidden="1"/>
    </xf>
    <xf numFmtId="165" fontId="9" fillId="8" borderId="34" xfId="2" applyNumberFormat="1" applyFont="1" applyFill="1" applyBorder="1" applyAlignment="1" applyProtection="1">
      <alignment horizontal="center"/>
      <protection hidden="1"/>
    </xf>
    <xf numFmtId="0" fontId="3" fillId="0" borderId="0" xfId="2" applyBorder="1" applyProtection="1">
      <protection hidden="1"/>
    </xf>
    <xf numFmtId="0" fontId="9" fillId="2" borderId="111" xfId="2" applyFont="1" applyFill="1" applyBorder="1" applyAlignment="1" applyProtection="1">
      <alignment horizontal="center"/>
      <protection hidden="1"/>
    </xf>
    <xf numFmtId="0" fontId="9" fillId="8" borderId="111" xfId="2" applyFont="1" applyFill="1" applyBorder="1" applyAlignment="1" applyProtection="1">
      <alignment horizontal="center"/>
      <protection hidden="1"/>
    </xf>
    <xf numFmtId="0" fontId="77" fillId="8" borderId="23" xfId="2" applyFont="1" applyFill="1" applyBorder="1" applyAlignment="1" applyProtection="1">
      <alignment horizontal="center" vertical="center" textRotation="90"/>
      <protection hidden="1"/>
    </xf>
    <xf numFmtId="0" fontId="77" fillId="2" borderId="23" xfId="2" applyFont="1" applyFill="1" applyBorder="1" applyAlignment="1" applyProtection="1">
      <alignment horizontal="center" vertical="center" textRotation="90"/>
      <protection hidden="1"/>
    </xf>
    <xf numFmtId="0" fontId="9" fillId="0" borderId="112" xfId="2" applyFont="1" applyBorder="1" applyProtection="1">
      <protection hidden="1"/>
    </xf>
    <xf numFmtId="0" fontId="78" fillId="0" borderId="29" xfId="2" applyFont="1" applyBorder="1" applyAlignment="1" applyProtection="1">
      <alignment horizontal="center" vertical="center" wrapText="1"/>
      <protection hidden="1"/>
    </xf>
    <xf numFmtId="164" fontId="9" fillId="0" borderId="0" xfId="2" applyNumberFormat="1" applyFont="1" applyAlignment="1" applyProtection="1">
      <alignment horizontal="center" vertical="center"/>
      <protection hidden="1"/>
    </xf>
    <xf numFmtId="164" fontId="9" fillId="0" borderId="20" xfId="2" applyNumberFormat="1" applyFont="1" applyBorder="1" applyAlignment="1" applyProtection="1">
      <alignment horizontal="center" vertical="center"/>
      <protection hidden="1"/>
    </xf>
    <xf numFmtId="164" fontId="9" fillId="0" borderId="21" xfId="2" applyNumberFormat="1" applyFont="1" applyBorder="1" applyAlignment="1" applyProtection="1">
      <alignment horizontal="center" vertical="center"/>
      <protection hidden="1"/>
    </xf>
    <xf numFmtId="164" fontId="9" fillId="0" borderId="22" xfId="2" applyNumberFormat="1" applyFont="1" applyBorder="1" applyAlignment="1" applyProtection="1">
      <alignment horizontal="center" vertical="center"/>
      <protection hidden="1"/>
    </xf>
    <xf numFmtId="165" fontId="3" fillId="0" borderId="0" xfId="2" applyNumberFormat="1" applyAlignment="1" applyProtection="1">
      <alignment horizontal="center"/>
      <protection hidden="1"/>
    </xf>
    <xf numFmtId="0" fontId="9" fillId="0" borderId="30" xfId="2" applyFont="1" applyBorder="1" applyProtection="1">
      <protection hidden="1"/>
    </xf>
    <xf numFmtId="0" fontId="9" fillId="0" borderId="55" xfId="2" applyFont="1" applyBorder="1" applyAlignment="1" applyProtection="1">
      <alignment horizontal="center"/>
      <protection hidden="1"/>
    </xf>
    <xf numFmtId="0" fontId="9" fillId="0" borderId="51" xfId="2" applyFont="1" applyBorder="1" applyAlignment="1" applyProtection="1">
      <alignment horizontal="center"/>
      <protection hidden="1"/>
    </xf>
    <xf numFmtId="0" fontId="9" fillId="0" borderId="50" xfId="2" applyFont="1" applyBorder="1" applyAlignment="1" applyProtection="1">
      <alignment horizontal="center"/>
      <protection hidden="1"/>
    </xf>
    <xf numFmtId="0" fontId="9" fillId="0" borderId="56" xfId="2" applyFont="1" applyBorder="1" applyAlignment="1" applyProtection="1">
      <alignment horizontal="center"/>
      <protection hidden="1"/>
    </xf>
    <xf numFmtId="0" fontId="9" fillId="0" borderId="57" xfId="2" applyFont="1" applyBorder="1" applyAlignment="1" applyProtection="1">
      <alignment horizontal="center"/>
      <protection hidden="1"/>
    </xf>
    <xf numFmtId="0" fontId="9" fillId="0" borderId="58" xfId="2" applyFont="1" applyBorder="1" applyAlignment="1" applyProtection="1">
      <alignment horizontal="center"/>
      <protection hidden="1"/>
    </xf>
    <xf numFmtId="0" fontId="2" fillId="9" borderId="52" xfId="2" applyFont="1" applyFill="1" applyBorder="1" applyAlignment="1" applyProtection="1">
      <alignment horizontal="center" vertical="center"/>
      <protection hidden="1"/>
    </xf>
    <xf numFmtId="0" fontId="0" fillId="9" borderId="52" xfId="2" applyFont="1" applyFill="1" applyBorder="1" applyAlignment="1" applyProtection="1">
      <alignment horizontal="center" vertical="center" wrapText="1"/>
      <protection hidden="1"/>
    </xf>
    <xf numFmtId="0" fontId="2" fillId="9" borderId="52" xfId="2" applyFont="1" applyFill="1" applyBorder="1" applyAlignment="1" applyProtection="1">
      <alignment horizontal="center" vertical="center" wrapText="1"/>
      <protection hidden="1"/>
    </xf>
    <xf numFmtId="0" fontId="2" fillId="9" borderId="52" xfId="2" applyFont="1" applyFill="1" applyBorder="1" applyAlignment="1" applyProtection="1">
      <alignment horizontal="center"/>
      <protection hidden="1"/>
    </xf>
    <xf numFmtId="164" fontId="2" fillId="9" borderId="52" xfId="2" applyNumberFormat="1" applyFont="1" applyFill="1" applyBorder="1" applyAlignment="1" applyProtection="1">
      <alignment horizontal="center" vertical="center"/>
      <protection hidden="1"/>
    </xf>
    <xf numFmtId="0" fontId="2" fillId="10" borderId="52" xfId="2" applyFont="1" applyFill="1" applyBorder="1" applyAlignment="1" applyProtection="1">
      <alignment horizontal="center" vertical="center"/>
      <protection hidden="1"/>
    </xf>
    <xf numFmtId="0" fontId="0" fillId="10" borderId="52" xfId="2" applyFont="1" applyFill="1" applyBorder="1" applyAlignment="1" applyProtection="1">
      <alignment horizontal="center" vertical="center" wrapText="1"/>
      <protection hidden="1"/>
    </xf>
    <xf numFmtId="0" fontId="2" fillId="10" borderId="52" xfId="2" applyFont="1" applyFill="1" applyBorder="1" applyAlignment="1" applyProtection="1">
      <alignment horizontal="center" vertical="center" wrapText="1"/>
      <protection hidden="1"/>
    </xf>
    <xf numFmtId="0" fontId="2" fillId="10" borderId="52" xfId="2" applyFont="1" applyFill="1" applyBorder="1" applyAlignment="1" applyProtection="1">
      <alignment horizontal="center"/>
      <protection hidden="1"/>
    </xf>
    <xf numFmtId="164" fontId="2" fillId="10" borderId="52" xfId="2" applyNumberFormat="1" applyFont="1" applyFill="1" applyBorder="1" applyAlignment="1" applyProtection="1">
      <alignment horizontal="center" vertical="center"/>
      <protection hidden="1"/>
    </xf>
    <xf numFmtId="0" fontId="2" fillId="0" borderId="0" xfId="0" applyFont="1" applyFill="1" applyBorder="1" applyAlignment="1" applyProtection="1">
      <protection hidden="1"/>
    </xf>
    <xf numFmtId="0" fontId="0" fillId="0" borderId="58" xfId="0" applyFont="1" applyBorder="1" applyProtection="1">
      <protection hidden="1"/>
    </xf>
    <xf numFmtId="0" fontId="79" fillId="0" borderId="29" xfId="0" applyFont="1" applyBorder="1" applyProtection="1">
      <protection hidden="1"/>
    </xf>
    <xf numFmtId="0" fontId="79" fillId="0" borderId="0" xfId="0" applyFont="1" applyFill="1" applyBorder="1" applyAlignment="1" applyProtection="1">
      <alignment vertical="center"/>
      <protection hidden="1"/>
    </xf>
    <xf numFmtId="0" fontId="79" fillId="0" borderId="0" xfId="0" applyFont="1" applyProtection="1">
      <protection hidden="1"/>
    </xf>
    <xf numFmtId="0" fontId="2" fillId="0" borderId="49" xfId="0" applyFont="1" applyBorder="1" applyProtection="1">
      <protection hidden="1"/>
    </xf>
    <xf numFmtId="0" fontId="0" fillId="0" borderId="49" xfId="0" applyFont="1" applyBorder="1" applyAlignment="1" applyProtection="1">
      <alignment horizontal="right"/>
      <protection hidden="1"/>
    </xf>
    <xf numFmtId="0" fontId="68" fillId="0" borderId="49" xfId="0" applyFont="1" applyBorder="1" applyAlignment="1" applyProtection="1">
      <alignment horizontal="left" vertical="center"/>
      <protection hidden="1"/>
    </xf>
    <xf numFmtId="0" fontId="14" fillId="0" borderId="52" xfId="0" applyFont="1" applyBorder="1" applyAlignment="1" applyProtection="1">
      <alignment horizontal="center" vertical="center" wrapText="1"/>
      <protection hidden="1"/>
    </xf>
    <xf numFmtId="0" fontId="14" fillId="0" borderId="0" xfId="0" applyFont="1" applyAlignment="1" applyProtection="1">
      <alignment horizontal="left" vertical="top" wrapText="1"/>
      <protection hidden="1"/>
    </xf>
    <xf numFmtId="0" fontId="39" fillId="0" borderId="52" xfId="0" applyFont="1" applyBorder="1" applyAlignment="1" applyProtection="1">
      <alignment horizontal="center" vertical="center" wrapText="1"/>
      <protection hidden="1"/>
    </xf>
    <xf numFmtId="0" fontId="45" fillId="0" borderId="72" xfId="0" applyFont="1" applyBorder="1" applyAlignment="1" applyProtection="1">
      <alignment horizontal="center" vertical="center" wrapText="1"/>
      <protection hidden="1"/>
    </xf>
    <xf numFmtId="0" fontId="45" fillId="0" borderId="53" xfId="0" applyFont="1" applyBorder="1" applyAlignment="1" applyProtection="1">
      <alignment horizontal="center" vertical="center" wrapText="1"/>
      <protection hidden="1"/>
    </xf>
    <xf numFmtId="168" fontId="0" fillId="0" borderId="49" xfId="0" applyNumberFormat="1" applyFont="1" applyBorder="1" applyAlignment="1" applyProtection="1">
      <alignment horizontal="right" vertical="center"/>
      <protection hidden="1"/>
    </xf>
    <xf numFmtId="168" fontId="25" fillId="0" borderId="49" xfId="0" applyNumberFormat="1" applyFont="1" applyBorder="1" applyAlignment="1" applyProtection="1">
      <alignment horizontal="right" vertical="center"/>
      <protection hidden="1"/>
    </xf>
    <xf numFmtId="0" fontId="46" fillId="0" borderId="72" xfId="0" applyFont="1" applyBorder="1" applyAlignment="1" applyProtection="1">
      <alignment horizontal="center" vertical="center" wrapText="1"/>
      <protection hidden="1"/>
    </xf>
    <xf numFmtId="0" fontId="46" fillId="0" borderId="73" xfId="0" applyFont="1" applyBorder="1" applyAlignment="1" applyProtection="1">
      <alignment horizontal="center" vertical="center" wrapText="1"/>
      <protection hidden="1"/>
    </xf>
    <xf numFmtId="0" fontId="46" fillId="0" borderId="53" xfId="0" applyFont="1" applyBorder="1" applyAlignment="1" applyProtection="1">
      <alignment horizontal="center" vertical="center" wrapText="1"/>
      <protection hidden="1"/>
    </xf>
    <xf numFmtId="0" fontId="45" fillId="0" borderId="73" xfId="0" applyFont="1" applyBorder="1" applyAlignment="1" applyProtection="1">
      <alignment horizontal="center" vertical="center" wrapText="1"/>
      <protection hidden="1"/>
    </xf>
    <xf numFmtId="0" fontId="14" fillId="0" borderId="53" xfId="0" applyFont="1" applyBorder="1" applyAlignment="1" applyProtection="1">
      <alignment horizontal="center" vertical="center" wrapText="1"/>
      <protection hidden="1"/>
    </xf>
    <xf numFmtId="0" fontId="25" fillId="0" borderId="89" xfId="0" applyFont="1" applyBorder="1" applyAlignment="1" applyProtection="1">
      <alignment horizontal="right" wrapText="1"/>
      <protection hidden="1"/>
    </xf>
    <xf numFmtId="0" fontId="73" fillId="0" borderId="52" xfId="0" applyFont="1" applyBorder="1" applyAlignment="1" applyProtection="1">
      <alignment horizontal="center" vertical="center" wrapText="1"/>
      <protection hidden="1"/>
    </xf>
    <xf numFmtId="0" fontId="24" fillId="0" borderId="0" xfId="0" applyFont="1" applyAlignment="1" applyProtection="1">
      <alignment horizontal="left" vertical="top" wrapText="1"/>
      <protection hidden="1"/>
    </xf>
    <xf numFmtId="0" fontId="75" fillId="0" borderId="52" xfId="0" applyFont="1" applyBorder="1" applyAlignment="1" applyProtection="1">
      <alignment horizontal="center" vertical="center"/>
      <protection hidden="1"/>
    </xf>
    <xf numFmtId="0" fontId="75" fillId="0" borderId="52" xfId="0" applyFont="1" applyBorder="1" applyAlignment="1" applyProtection="1">
      <alignment horizontal="center" vertical="center" wrapText="1"/>
      <protection hidden="1"/>
    </xf>
    <xf numFmtId="0" fontId="9" fillId="0" borderId="0" xfId="0" applyFont="1" applyAlignment="1" applyProtection="1">
      <alignment horizontal="left" vertical="top" wrapText="1"/>
      <protection hidden="1"/>
    </xf>
    <xf numFmtId="0" fontId="2" fillId="0" borderId="0" xfId="0" applyFont="1" applyFill="1" applyBorder="1" applyAlignment="1" applyProtection="1">
      <alignment horizontal="center"/>
      <protection hidden="1"/>
    </xf>
    <xf numFmtId="0" fontId="0" fillId="0" borderId="0" xfId="0" applyFont="1" applyAlignment="1" applyProtection="1">
      <alignment horizontal="left" vertical="top" wrapText="1"/>
      <protection hidden="1"/>
    </xf>
    <xf numFmtId="0" fontId="60" fillId="0" borderId="0" xfId="0" applyFont="1" applyAlignment="1" applyProtection="1">
      <alignment horizontal="left" vertical="top" wrapText="1"/>
      <protection hidden="1"/>
    </xf>
    <xf numFmtId="0" fontId="61" fillId="0" borderId="0" xfId="0" applyFont="1" applyAlignment="1" applyProtection="1">
      <alignment horizontal="right" vertical="top" wrapText="1"/>
      <protection hidden="1"/>
    </xf>
    <xf numFmtId="0" fontId="63" fillId="0" borderId="20" xfId="0" applyFont="1" applyBorder="1" applyAlignment="1" applyProtection="1">
      <alignment horizontal="center" vertical="center" wrapText="1"/>
      <protection hidden="1"/>
    </xf>
    <xf numFmtId="0" fontId="63" fillId="0" borderId="22" xfId="0" applyFont="1" applyBorder="1" applyAlignment="1" applyProtection="1">
      <alignment horizontal="center" vertical="center" wrapText="1"/>
      <protection hidden="1"/>
    </xf>
    <xf numFmtId="0" fontId="0" fillId="0" borderId="84" xfId="0" applyFont="1" applyBorder="1" applyAlignment="1" applyProtection="1">
      <alignment horizontal="right" vertical="top"/>
      <protection hidden="1"/>
    </xf>
    <xf numFmtId="0" fontId="24" fillId="0" borderId="0" xfId="0" applyFont="1" applyBorder="1" applyAlignment="1" applyProtection="1">
      <alignment horizontal="left" vertical="top" wrapText="1"/>
      <protection hidden="1"/>
    </xf>
    <xf numFmtId="0" fontId="0" fillId="0" borderId="84" xfId="0" applyFont="1" applyBorder="1" applyAlignment="1" applyProtection="1">
      <alignment horizontal="right" vertical="top" wrapText="1"/>
      <protection hidden="1"/>
    </xf>
    <xf numFmtId="0" fontId="76" fillId="0" borderId="0" xfId="0" applyFont="1" applyBorder="1" applyAlignment="1" applyProtection="1">
      <alignment horizontal="right" wrapText="1"/>
      <protection hidden="1"/>
    </xf>
    <xf numFmtId="0" fontId="76" fillId="0" borderId="29" xfId="0" applyFont="1" applyBorder="1" applyAlignment="1" applyProtection="1">
      <alignment horizontal="right" wrapText="1"/>
      <protection hidden="1"/>
    </xf>
    <xf numFmtId="0" fontId="64" fillId="0" borderId="20" xfId="0" applyFont="1" applyBorder="1" applyAlignment="1" applyProtection="1">
      <alignment horizontal="center" vertical="center" wrapText="1"/>
      <protection hidden="1"/>
    </xf>
    <xf numFmtId="0" fontId="64" fillId="0" borderId="22" xfId="0" applyFont="1" applyBorder="1" applyAlignment="1" applyProtection="1">
      <alignment horizontal="center" vertical="center" wrapText="1"/>
      <protection hidden="1"/>
    </xf>
    <xf numFmtId="0" fontId="0" fillId="0" borderId="0" xfId="0" applyFont="1" applyAlignment="1" applyProtection="1">
      <alignment horizontal="left" vertical="center"/>
      <protection hidden="1"/>
    </xf>
    <xf numFmtId="166" fontId="0" fillId="0" borderId="0" xfId="0" applyNumberFormat="1" applyFont="1" applyAlignment="1" applyProtection="1">
      <alignment horizontal="left"/>
      <protection hidden="1"/>
    </xf>
    <xf numFmtId="0" fontId="0" fillId="0" borderId="0" xfId="0" applyFont="1" applyAlignment="1" applyProtection="1">
      <alignment horizontal="left"/>
      <protection hidden="1"/>
    </xf>
    <xf numFmtId="0" fontId="2" fillId="0" borderId="84" xfId="0" applyFont="1" applyBorder="1" applyAlignment="1" applyProtection="1">
      <alignment horizontal="left"/>
      <protection hidden="1"/>
    </xf>
    <xf numFmtId="0" fontId="61" fillId="0" borderId="0" xfId="0" applyFont="1" applyBorder="1" applyAlignment="1" applyProtection="1">
      <alignment horizontal="left" vertical="top" wrapText="1"/>
      <protection hidden="1"/>
    </xf>
    <xf numFmtId="0" fontId="24" fillId="0" borderId="0" xfId="0" applyFont="1" applyAlignment="1" applyProtection="1">
      <alignment horizontal="left" wrapText="1"/>
      <protection hidden="1"/>
    </xf>
    <xf numFmtId="0" fontId="63" fillId="0" borderId="72" xfId="0" applyFont="1" applyBorder="1" applyAlignment="1" applyProtection="1">
      <alignment horizontal="center" vertical="center" wrapText="1"/>
      <protection hidden="1"/>
    </xf>
    <xf numFmtId="0" fontId="63" fillId="0" borderId="53" xfId="0" applyFont="1" applyBorder="1" applyAlignment="1" applyProtection="1">
      <alignment horizontal="center" vertical="center" wrapText="1"/>
      <protection hidden="1"/>
    </xf>
    <xf numFmtId="0" fontId="64" fillId="0" borderId="72" xfId="0" applyFont="1" applyBorder="1" applyAlignment="1" applyProtection="1">
      <alignment horizontal="center" vertical="center" wrapText="1"/>
      <protection hidden="1"/>
    </xf>
    <xf numFmtId="0" fontId="64" fillId="0" borderId="53" xfId="0" applyFont="1" applyBorder="1" applyAlignment="1" applyProtection="1">
      <alignment horizontal="center" vertical="center" wrapText="1"/>
      <protection hidden="1"/>
    </xf>
    <xf numFmtId="0" fontId="0" fillId="0" borderId="0" xfId="0" applyFont="1" applyBorder="1" applyAlignment="1" applyProtection="1">
      <alignment horizontal="left" vertical="top" wrapText="1"/>
      <protection hidden="1"/>
    </xf>
    <xf numFmtId="0" fontId="79" fillId="0" borderId="0" xfId="0" applyFont="1" applyFill="1" applyBorder="1" applyAlignment="1" applyProtection="1">
      <alignment horizontal="left" vertical="center"/>
      <protection hidden="1"/>
    </xf>
    <xf numFmtId="0" fontId="43" fillId="0" borderId="44" xfId="0" applyFont="1" applyFill="1" applyBorder="1" applyAlignment="1" applyProtection="1">
      <alignment horizontal="left" vertical="top"/>
      <protection hidden="1"/>
    </xf>
    <xf numFmtId="0" fontId="43" fillId="0" borderId="4" xfId="0" applyFont="1" applyFill="1" applyBorder="1" applyAlignment="1" applyProtection="1">
      <alignment horizontal="left" vertical="top"/>
      <protection hidden="1"/>
    </xf>
    <xf numFmtId="0" fontId="43" fillId="0" borderId="3" xfId="0" applyFont="1" applyFill="1" applyBorder="1" applyAlignment="1" applyProtection="1">
      <alignment horizontal="left" vertical="top"/>
      <protection hidden="1"/>
    </xf>
    <xf numFmtId="0" fontId="43" fillId="0" borderId="2" xfId="0" applyFont="1" applyFill="1" applyBorder="1" applyAlignment="1" applyProtection="1">
      <alignment horizontal="left" vertical="top"/>
      <protection hidden="1"/>
    </xf>
    <xf numFmtId="0" fontId="43" fillId="0" borderId="0" xfId="0" applyFont="1" applyFill="1" applyBorder="1" applyAlignment="1" applyProtection="1">
      <alignment horizontal="left" vertical="top"/>
      <protection hidden="1"/>
    </xf>
    <xf numFmtId="0" fontId="43" fillId="0" borderId="5" xfId="0" applyFont="1" applyFill="1" applyBorder="1" applyAlignment="1" applyProtection="1">
      <alignment horizontal="left" vertical="top"/>
      <protection hidden="1"/>
    </xf>
    <xf numFmtId="0" fontId="43" fillId="0" borderId="69" xfId="0" applyFont="1" applyFill="1" applyBorder="1" applyAlignment="1" applyProtection="1">
      <alignment horizontal="left" vertical="top"/>
      <protection hidden="1"/>
    </xf>
    <xf numFmtId="0" fontId="43" fillId="0" borderId="70" xfId="0" applyFont="1" applyFill="1" applyBorder="1" applyAlignment="1" applyProtection="1">
      <alignment horizontal="left" vertical="top"/>
      <protection hidden="1"/>
    </xf>
    <xf numFmtId="0" fontId="43" fillId="0" borderId="71" xfId="0" applyFont="1" applyFill="1" applyBorder="1" applyAlignment="1" applyProtection="1">
      <alignment horizontal="left" vertical="top"/>
      <protection hidden="1"/>
    </xf>
    <xf numFmtId="0" fontId="0" fillId="0" borderId="84" xfId="0" applyFont="1" applyBorder="1" applyAlignment="1" applyProtection="1">
      <alignment horizontal="right"/>
      <protection hidden="1"/>
    </xf>
    <xf numFmtId="0" fontId="70" fillId="0" borderId="1" xfId="2" applyFont="1" applyBorder="1" applyAlignment="1" applyProtection="1">
      <alignment horizontal="center"/>
      <protection hidden="1"/>
    </xf>
    <xf numFmtId="9" fontId="29" fillId="0" borderId="0" xfId="5" applyFont="1" applyBorder="1" applyAlignment="1" applyProtection="1">
      <alignment horizontal="center" vertical="center"/>
      <protection hidden="1"/>
    </xf>
    <xf numFmtId="9" fontId="54" fillId="0" borderId="0" xfId="5" applyFont="1" applyBorder="1" applyAlignment="1" applyProtection="1">
      <alignment horizontal="center" vertical="center"/>
      <protection hidden="1"/>
    </xf>
    <xf numFmtId="0" fontId="42" fillId="0" borderId="0" xfId="2" applyNumberFormat="1" applyFont="1" applyFill="1" applyBorder="1" applyAlignment="1" applyProtection="1">
      <alignment horizontal="left" vertical="center"/>
      <protection hidden="1"/>
    </xf>
    <xf numFmtId="0" fontId="42" fillId="0" borderId="0" xfId="2" quotePrefix="1" applyNumberFormat="1" applyFont="1" applyFill="1" applyBorder="1" applyAlignment="1" applyProtection="1">
      <alignment horizontal="left" vertical="center"/>
      <protection hidden="1"/>
    </xf>
    <xf numFmtId="0" fontId="4" fillId="0" borderId="0" xfId="2" applyFont="1" applyFill="1" applyBorder="1" applyAlignment="1" applyProtection="1">
      <alignment horizontal="center"/>
      <protection hidden="1"/>
    </xf>
    <xf numFmtId="9" fontId="54" fillId="0" borderId="61" xfId="5" applyFont="1" applyBorder="1" applyAlignment="1" applyProtection="1">
      <alignment horizontal="center" vertical="center"/>
      <protection hidden="1"/>
    </xf>
    <xf numFmtId="0" fontId="71" fillId="0" borderId="1" xfId="2" applyFont="1" applyBorder="1" applyAlignment="1" applyProtection="1">
      <alignment horizontal="center"/>
      <protection hidden="1"/>
    </xf>
    <xf numFmtId="0" fontId="9" fillId="0" borderId="23" xfId="2" applyFont="1" applyBorder="1" applyAlignment="1" applyProtection="1">
      <alignment horizontal="center" vertical="center"/>
      <protection hidden="1"/>
    </xf>
    <xf numFmtId="0" fontId="9" fillId="0" borderId="25" xfId="2" applyFont="1" applyBorder="1" applyAlignment="1" applyProtection="1">
      <alignment horizontal="center" vertical="center"/>
      <protection hidden="1"/>
    </xf>
    <xf numFmtId="0" fontId="9" fillId="0" borderId="23" xfId="2" applyFont="1" applyBorder="1" applyAlignment="1" applyProtection="1">
      <alignment horizontal="center"/>
      <protection hidden="1"/>
    </xf>
    <xf numFmtId="0" fontId="9" fillId="0" borderId="25" xfId="2" applyFont="1" applyBorder="1" applyAlignment="1" applyProtection="1">
      <alignment horizontal="center"/>
      <protection hidden="1"/>
    </xf>
    <xf numFmtId="0" fontId="9" fillId="0" borderId="24" xfId="2" applyFont="1" applyBorder="1" applyAlignment="1" applyProtection="1">
      <alignment horizontal="center" vertical="center"/>
      <protection hidden="1"/>
    </xf>
    <xf numFmtId="0" fontId="47" fillId="0" borderId="76" xfId="2" applyFont="1" applyBorder="1" applyAlignment="1" applyProtection="1">
      <alignment horizontal="center" vertical="center"/>
      <protection hidden="1"/>
    </xf>
    <xf numFmtId="0" fontId="47" fillId="0" borderId="77" xfId="2" applyFont="1" applyBorder="1" applyAlignment="1" applyProtection="1">
      <alignment horizontal="center" vertical="center"/>
      <protection hidden="1"/>
    </xf>
    <xf numFmtId="0" fontId="52" fillId="0" borderId="24" xfId="2" applyFont="1" applyBorder="1" applyAlignment="1" applyProtection="1">
      <alignment horizontal="center" vertical="center"/>
      <protection hidden="1"/>
    </xf>
    <xf numFmtId="0" fontId="52" fillId="0" borderId="25" xfId="2" applyFont="1" applyBorder="1" applyAlignment="1" applyProtection="1">
      <alignment horizontal="center" vertical="center"/>
      <protection hidden="1"/>
    </xf>
    <xf numFmtId="0" fontId="9" fillId="0" borderId="30" xfId="2" applyNumberFormat="1" applyFont="1" applyBorder="1" applyAlignment="1" applyProtection="1">
      <alignment horizontal="center" vertical="center"/>
      <protection hidden="1"/>
    </xf>
    <xf numFmtId="0" fontId="35" fillId="0" borderId="0" xfId="2" applyFont="1" applyBorder="1" applyAlignment="1" applyProtection="1">
      <alignment horizontal="center" wrapText="1"/>
      <protection hidden="1"/>
    </xf>
    <xf numFmtId="2" fontId="47" fillId="0" borderId="23" xfId="2" applyNumberFormat="1" applyFont="1" applyBorder="1" applyAlignment="1" applyProtection="1">
      <alignment horizontal="center" vertical="center"/>
      <protection hidden="1"/>
    </xf>
    <xf numFmtId="2" fontId="47" fillId="0" borderId="25" xfId="2" applyNumberFormat="1" applyFont="1" applyBorder="1" applyAlignment="1" applyProtection="1">
      <alignment horizontal="center" vertical="center"/>
      <protection hidden="1"/>
    </xf>
    <xf numFmtId="0" fontId="35" fillId="0" borderId="29" xfId="2" applyFont="1" applyBorder="1" applyAlignment="1" applyProtection="1">
      <alignment horizontal="center" wrapText="1"/>
      <protection hidden="1"/>
    </xf>
    <xf numFmtId="0" fontId="69" fillId="0" borderId="0" xfId="2" applyFont="1" applyBorder="1" applyAlignment="1" applyProtection="1">
      <alignment horizontal="center" wrapText="1"/>
      <protection hidden="1"/>
    </xf>
    <xf numFmtId="0" fontId="9" fillId="0" borderId="24" xfId="2" applyFont="1" applyBorder="1" applyAlignment="1" applyProtection="1">
      <alignment horizontal="center"/>
      <protection hidden="1"/>
    </xf>
    <xf numFmtId="164" fontId="15" fillId="0" borderId="76" xfId="2" applyNumberFormat="1" applyFont="1" applyBorder="1" applyAlignment="1" applyProtection="1">
      <alignment horizontal="center" vertical="center"/>
      <protection hidden="1"/>
    </xf>
    <xf numFmtId="164" fontId="15" fillId="0" borderId="77" xfId="2" applyNumberFormat="1" applyFont="1" applyBorder="1" applyAlignment="1" applyProtection="1">
      <alignment horizontal="center" vertical="center"/>
      <protection hidden="1"/>
    </xf>
    <xf numFmtId="164" fontId="51" fillId="0" borderId="24" xfId="2" applyNumberFormat="1" applyFont="1" applyBorder="1" applyAlignment="1" applyProtection="1">
      <alignment horizontal="center" vertical="center"/>
      <protection hidden="1"/>
    </xf>
    <xf numFmtId="164" fontId="51" fillId="0" borderId="25" xfId="2" applyNumberFormat="1" applyFont="1" applyBorder="1" applyAlignment="1" applyProtection="1">
      <alignment horizontal="center" vertical="center"/>
      <protection hidden="1"/>
    </xf>
    <xf numFmtId="164" fontId="48" fillId="0" borderId="76" xfId="2" applyNumberFormat="1" applyFont="1" applyBorder="1" applyAlignment="1" applyProtection="1">
      <alignment horizontal="center" vertical="center"/>
      <protection hidden="1"/>
    </xf>
    <xf numFmtId="164" fontId="48" fillId="0" borderId="77" xfId="2" applyNumberFormat="1" applyFont="1" applyBorder="1" applyAlignment="1" applyProtection="1">
      <alignment horizontal="center" vertical="center"/>
      <protection hidden="1"/>
    </xf>
    <xf numFmtId="164" fontId="49" fillId="0" borderId="24" xfId="2" applyNumberFormat="1" applyFont="1" applyBorder="1" applyAlignment="1" applyProtection="1">
      <alignment horizontal="center" vertical="center"/>
      <protection hidden="1"/>
    </xf>
    <xf numFmtId="164" fontId="49" fillId="0" borderId="25" xfId="2" applyNumberFormat="1" applyFont="1" applyBorder="1" applyAlignment="1" applyProtection="1">
      <alignment horizontal="center" vertical="center"/>
      <protection hidden="1"/>
    </xf>
    <xf numFmtId="0" fontId="69" fillId="0" borderId="0" xfId="2" applyFont="1" applyBorder="1" applyAlignment="1" applyProtection="1">
      <alignment horizontal="center" vertical="center" wrapText="1"/>
      <protection hidden="1"/>
    </xf>
    <xf numFmtId="0" fontId="35" fillId="0" borderId="0" xfId="2" applyFont="1" applyBorder="1" applyAlignment="1" applyProtection="1">
      <alignment horizontal="left" vertical="top"/>
      <protection hidden="1"/>
    </xf>
    <xf numFmtId="0" fontId="35" fillId="0" borderId="29" xfId="2" applyFont="1" applyBorder="1" applyAlignment="1" applyProtection="1">
      <alignment horizontal="left"/>
      <protection hidden="1"/>
    </xf>
    <xf numFmtId="0" fontId="35" fillId="0" borderId="0" xfId="2" applyFont="1" applyBorder="1" applyAlignment="1" applyProtection="1">
      <alignment horizontal="left"/>
      <protection hidden="1"/>
    </xf>
    <xf numFmtId="0" fontId="35" fillId="0" borderId="28" xfId="2" applyFont="1" applyBorder="1" applyAlignment="1" applyProtection="1">
      <alignment horizontal="left"/>
      <protection hidden="1"/>
    </xf>
    <xf numFmtId="0" fontId="21" fillId="5" borderId="26" xfId="2" applyFont="1" applyFill="1" applyBorder="1" applyAlignment="1" applyProtection="1">
      <alignment horizontal="left" vertical="center"/>
      <protection hidden="1"/>
    </xf>
    <xf numFmtId="0" fontId="21" fillId="5" borderId="27" xfId="2" applyFont="1" applyFill="1" applyBorder="1" applyAlignment="1" applyProtection="1">
      <alignment horizontal="left" vertical="center"/>
      <protection hidden="1"/>
    </xf>
    <xf numFmtId="0" fontId="14" fillId="0" borderId="26" xfId="2" applyFont="1" applyFill="1" applyBorder="1" applyAlignment="1" applyProtection="1">
      <alignment horizontal="left" vertical="center"/>
      <protection hidden="1"/>
    </xf>
    <xf numFmtId="0" fontId="14" fillId="0" borderId="27" xfId="2" applyFont="1" applyFill="1" applyBorder="1" applyAlignment="1" applyProtection="1">
      <alignment horizontal="left" vertical="center"/>
      <protection hidden="1"/>
    </xf>
    <xf numFmtId="170" fontId="9" fillId="0" borderId="30" xfId="2" applyNumberFormat="1" applyFont="1" applyBorder="1" applyAlignment="1" applyProtection="1">
      <alignment horizontal="center" vertical="center"/>
      <protection hidden="1"/>
    </xf>
    <xf numFmtId="0" fontId="21" fillId="5" borderId="26" xfId="2" applyFont="1" applyFill="1" applyBorder="1" applyAlignment="1" applyProtection="1">
      <alignment horizontal="left" vertical="top"/>
      <protection hidden="1"/>
    </xf>
    <xf numFmtId="0" fontId="21" fillId="5" borderId="27" xfId="2" applyFont="1" applyFill="1" applyBorder="1" applyAlignment="1" applyProtection="1">
      <alignment horizontal="left" vertical="top"/>
      <protection hidden="1"/>
    </xf>
    <xf numFmtId="0" fontId="65" fillId="0" borderId="23" xfId="2" applyFont="1" applyBorder="1" applyAlignment="1" applyProtection="1">
      <alignment horizontal="left" vertical="top" wrapText="1"/>
      <protection hidden="1"/>
    </xf>
    <xf numFmtId="0" fontId="65" fillId="0" borderId="24" xfId="2" applyFont="1" applyBorder="1" applyAlignment="1" applyProtection="1">
      <alignment horizontal="left" vertical="top" wrapText="1"/>
      <protection hidden="1"/>
    </xf>
    <xf numFmtId="0" fontId="65" fillId="0" borderId="25" xfId="2" applyFont="1" applyBorder="1" applyAlignment="1" applyProtection="1">
      <alignment horizontal="left" vertical="top" wrapText="1"/>
      <protection hidden="1"/>
    </xf>
  </cellXfs>
  <cellStyles count="9">
    <cellStyle name="Comma" xfId="6" builtinId="3"/>
    <cellStyle name="Normal" xfId="0" builtinId="0"/>
    <cellStyle name="Normal 2" xfId="2"/>
    <cellStyle name="Normal 2 2" xfId="4"/>
    <cellStyle name="Normal 2 2 2" xfId="7"/>
    <cellStyle name="Percent" xfId="1" builtinId="5"/>
    <cellStyle name="Percent 2" xfId="3"/>
    <cellStyle name="Percent 2 2" xfId="5"/>
    <cellStyle name="Percent 3" xfId="8"/>
  </cellStyles>
  <dxfs count="3">
    <dxf>
      <fill>
        <patternFill>
          <bgColor theme="7" tint="0.39994506668294322"/>
        </patternFill>
      </fill>
    </dxf>
    <dxf>
      <fill>
        <patternFill>
          <bgColor theme="5"/>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image" Target="../media/image1.jpg"/><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'DIR1'!$BI$9</c:f>
              <c:strCache>
                <c:ptCount val="1"/>
                <c:pt idx="0">
                  <c:v>Tue 12 Jun</c:v>
                </c:pt>
              </c:strCache>
            </c:strRef>
          </c:tx>
          <c:spPr>
            <a:ln w="12700" cap="rnd">
              <a:solidFill>
                <a:schemeClr val="accent1"/>
              </a:solidFill>
              <a:round/>
            </a:ln>
            <a:effectLst/>
          </c:spPr>
          <c:marker>
            <c:symbol val="circle"/>
            <c:size val="3"/>
            <c:spPr>
              <a:solidFill>
                <a:schemeClr val="accent1"/>
              </a:solidFill>
              <a:ln w="9525">
                <a:solidFill>
                  <a:schemeClr val="accent1"/>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'DIR1'!$AZ$115:$AZ$138</c15:sqref>
                  </c15:fullRef>
                </c:ext>
              </c:extLst>
              <c:f>('DIR1'!$AZ$115,'DIR1'!$AZ$117,'DIR1'!$AZ$119,'DIR1'!$AZ$121,'DIR1'!$AZ$123,'DIR1'!$AZ$125,'DIR1'!$AZ$127,'DIR1'!$AZ$129,'DIR1'!$AZ$131,'DIR1'!$AZ$133,'DIR1'!$AZ$135,'DIR1'!$AZ$137)</c:f>
              <c:numCache>
                <c:formatCode>0</c:formatCode>
                <c:ptCount val="12"/>
                <c:pt idx="0">
                  <c:v>3</c:v>
                </c:pt>
                <c:pt idx="1">
                  <c:v>#N/A</c:v>
                </c:pt>
                <c:pt idx="2">
                  <c:v>#N/A</c:v>
                </c:pt>
                <c:pt idx="3">
                  <c:v>11</c:v>
                </c:pt>
                <c:pt idx="4">
                  <c:v>37</c:v>
                </c:pt>
                <c:pt idx="5">
                  <c:v>48</c:v>
                </c:pt>
                <c:pt idx="6">
                  <c:v>37</c:v>
                </c:pt>
                <c:pt idx="7">
                  <c:v>41</c:v>
                </c:pt>
                <c:pt idx="8">
                  <c:v>74</c:v>
                </c:pt>
                <c:pt idx="9">
                  <c:v>56</c:v>
                </c:pt>
                <c:pt idx="10">
                  <c:v>22</c:v>
                </c:pt>
                <c:pt idx="11">
                  <c:v>11</c:v>
                </c:pt>
              </c:numCache>
            </c:numRef>
          </c:val>
          <c:smooth val="0"/>
        </c:ser>
        <c:ser>
          <c:idx val="1"/>
          <c:order val="1"/>
          <c:tx>
            <c:strRef>
              <c:f>'DIR1'!$BJ$9</c:f>
              <c:strCache>
                <c:ptCount val="1"/>
                <c:pt idx="0">
                  <c:v>Wed 13 Jun</c:v>
                </c:pt>
              </c:strCache>
            </c:strRef>
          </c:tx>
          <c:spPr>
            <a:ln w="12700" cap="rnd">
              <a:solidFill>
                <a:schemeClr val="accent2"/>
              </a:solidFill>
              <a:round/>
            </a:ln>
            <a:effectLst/>
          </c:spPr>
          <c:marker>
            <c:symbol val="circle"/>
            <c:size val="3"/>
            <c:spPr>
              <a:solidFill>
                <a:schemeClr val="accent2"/>
              </a:solidFill>
              <a:ln w="9525">
                <a:solidFill>
                  <a:schemeClr val="accent2"/>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'DIR1'!$BA$115:$BA$138</c15:sqref>
                  </c15:fullRef>
                </c:ext>
              </c:extLst>
              <c:f>('DIR1'!$BA$115,'DIR1'!$BA$117,'DIR1'!$BA$119,'DIR1'!$BA$121,'DIR1'!$BA$123,'DIR1'!$BA$125,'DIR1'!$BA$127,'DIR1'!$BA$129,'DIR1'!$BA$131,'DIR1'!$BA$133,'DIR1'!$BA$135,'DIR1'!$BA$137)</c:f>
              <c:numCache>
                <c:formatCode>0</c:formatCode>
                <c:ptCount val="12"/>
                <c:pt idx="0">
                  <c:v>3</c:v>
                </c:pt>
                <c:pt idx="1">
                  <c:v>1</c:v>
                </c:pt>
                <c:pt idx="2">
                  <c:v>1</c:v>
                </c:pt>
                <c:pt idx="3">
                  <c:v>10</c:v>
                </c:pt>
                <c:pt idx="4">
                  <c:v>39</c:v>
                </c:pt>
                <c:pt idx="5">
                  <c:v>30</c:v>
                </c:pt>
                <c:pt idx="6">
                  <c:v>54</c:v>
                </c:pt>
                <c:pt idx="7">
                  <c:v>60</c:v>
                </c:pt>
                <c:pt idx="8">
                  <c:v>66</c:v>
                </c:pt>
                <c:pt idx="9">
                  <c:v>56</c:v>
                </c:pt>
                <c:pt idx="10">
                  <c:v>36</c:v>
                </c:pt>
                <c:pt idx="11">
                  <c:v>9</c:v>
                </c:pt>
              </c:numCache>
            </c:numRef>
          </c:val>
          <c:smooth val="0"/>
        </c:ser>
        <c:ser>
          <c:idx val="2"/>
          <c:order val="2"/>
          <c:tx>
            <c:strRef>
              <c:f>'DIR1'!$BK$9</c:f>
              <c:strCache>
                <c:ptCount val="1"/>
                <c:pt idx="0">
                  <c:v>Thu 14 Jun</c:v>
                </c:pt>
              </c:strCache>
            </c:strRef>
          </c:tx>
          <c:spPr>
            <a:ln w="12700" cap="rnd">
              <a:solidFill>
                <a:schemeClr val="accent3"/>
              </a:solidFill>
              <a:round/>
            </a:ln>
            <a:effectLst/>
          </c:spPr>
          <c:marker>
            <c:symbol val="circle"/>
            <c:size val="3"/>
            <c:spPr>
              <a:solidFill>
                <a:schemeClr val="accent3"/>
              </a:solidFill>
              <a:ln w="9525">
                <a:solidFill>
                  <a:schemeClr val="accent3"/>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'DIR1'!$BB$115:$BB$138</c15:sqref>
                  </c15:fullRef>
                </c:ext>
              </c:extLst>
              <c:f>('DIR1'!$BB$115,'DIR1'!$BB$117,'DIR1'!$BB$119,'DIR1'!$BB$121,'DIR1'!$BB$123,'DIR1'!$BB$125,'DIR1'!$BB$127,'DIR1'!$BB$129,'DIR1'!$BB$131,'DIR1'!$BB$133,'DIR1'!$BB$135,'DIR1'!$BB$137)</c:f>
              <c:numCache>
                <c:formatCode>0</c:formatCode>
                <c:ptCount val="12"/>
                <c:pt idx="0">
                  <c:v>2</c:v>
                </c:pt>
                <c:pt idx="1">
                  <c:v>#N/A</c:v>
                </c:pt>
                <c:pt idx="2">
                  <c:v>1</c:v>
                </c:pt>
                <c:pt idx="3">
                  <c:v>12</c:v>
                </c:pt>
                <c:pt idx="4">
                  <c:v>27</c:v>
                </c:pt>
                <c:pt idx="5">
                  <c:v>34</c:v>
                </c:pt>
                <c:pt idx="6">
                  <c:v>39</c:v>
                </c:pt>
                <c:pt idx="7">
                  <c:v>38</c:v>
                </c:pt>
                <c:pt idx="8">
                  <c:v>75</c:v>
                </c:pt>
                <c:pt idx="9">
                  <c:v>42</c:v>
                </c:pt>
                <c:pt idx="10">
                  <c:v>33</c:v>
                </c:pt>
                <c:pt idx="11">
                  <c:v>13</c:v>
                </c:pt>
              </c:numCache>
            </c:numRef>
          </c:val>
          <c:smooth val="0"/>
        </c:ser>
        <c:ser>
          <c:idx val="3"/>
          <c:order val="3"/>
          <c:tx>
            <c:strRef>
              <c:f>'DIR1'!$BL$9</c:f>
              <c:strCache>
                <c:ptCount val="1"/>
                <c:pt idx="0">
                  <c:v>Fri 15 Jun</c:v>
                </c:pt>
              </c:strCache>
            </c:strRef>
          </c:tx>
          <c:spPr>
            <a:ln w="12700" cap="rnd">
              <a:solidFill>
                <a:schemeClr val="accent4"/>
              </a:solidFill>
              <a:round/>
            </a:ln>
            <a:effectLst/>
          </c:spPr>
          <c:marker>
            <c:symbol val="circle"/>
            <c:size val="3"/>
            <c:spPr>
              <a:solidFill>
                <a:schemeClr val="accent4"/>
              </a:solidFill>
              <a:ln w="9525">
                <a:solidFill>
                  <a:schemeClr val="accent4"/>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'DIR1'!$BC$115:$BC$138</c15:sqref>
                  </c15:fullRef>
                </c:ext>
              </c:extLst>
              <c:f>('DIR1'!$BC$115,'DIR1'!$BC$117,'DIR1'!$BC$119,'DIR1'!$BC$121,'DIR1'!$BC$123,'DIR1'!$BC$125,'DIR1'!$BC$127,'DIR1'!$BC$129,'DIR1'!$BC$131,'DIR1'!$BC$133,'DIR1'!$BC$135,'DIR1'!$BC$137)</c:f>
              <c:numCache>
                <c:formatCode>0</c:formatCode>
                <c:ptCount val="12"/>
                <c:pt idx="0">
                  <c:v>2</c:v>
                </c:pt>
                <c:pt idx="1">
                  <c:v>1</c:v>
                </c:pt>
                <c:pt idx="2">
                  <c:v>1</c:v>
                </c:pt>
                <c:pt idx="3">
                  <c:v>13</c:v>
                </c:pt>
                <c:pt idx="4">
                  <c:v>35</c:v>
                </c:pt>
                <c:pt idx="5">
                  <c:v>32</c:v>
                </c:pt>
                <c:pt idx="6">
                  <c:v>58</c:v>
                </c:pt>
                <c:pt idx="7">
                  <c:v>53</c:v>
                </c:pt>
                <c:pt idx="8">
                  <c:v>86</c:v>
                </c:pt>
                <c:pt idx="9">
                  <c:v>47</c:v>
                </c:pt>
                <c:pt idx="10">
                  <c:v>29</c:v>
                </c:pt>
                <c:pt idx="11">
                  <c:v>9</c:v>
                </c:pt>
              </c:numCache>
            </c:numRef>
          </c:val>
          <c:smooth val="0"/>
        </c:ser>
        <c:ser>
          <c:idx val="4"/>
          <c:order val="4"/>
          <c:tx>
            <c:strRef>
              <c:f>'DIR1'!$BM$9</c:f>
              <c:strCache>
                <c:ptCount val="1"/>
                <c:pt idx="0">
                  <c:v>Sat 16 Jun</c:v>
                </c:pt>
              </c:strCache>
            </c:strRef>
          </c:tx>
          <c:spPr>
            <a:ln w="12700" cap="rnd">
              <a:solidFill>
                <a:schemeClr val="accent5"/>
              </a:solidFill>
              <a:round/>
            </a:ln>
            <a:effectLst/>
          </c:spPr>
          <c:marker>
            <c:symbol val="circle"/>
            <c:size val="3"/>
            <c:spPr>
              <a:solidFill>
                <a:schemeClr val="accent5"/>
              </a:solidFill>
              <a:ln w="9525">
                <a:solidFill>
                  <a:schemeClr val="accent5"/>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'DIR1'!$BD$115:$BD$138</c15:sqref>
                  </c15:fullRef>
                </c:ext>
              </c:extLst>
              <c:f>('DIR1'!$BD$115,'DIR1'!$BD$117,'DIR1'!$BD$119,'DIR1'!$BD$121,'DIR1'!$BD$123,'DIR1'!$BD$125,'DIR1'!$BD$127,'DIR1'!$BD$129,'DIR1'!$BD$131,'DIR1'!$BD$133,'DIR1'!$BD$135,'DIR1'!$BD$137)</c:f>
              <c:numCache>
                <c:formatCode>0</c:formatCode>
                <c:ptCount val="12"/>
                <c:pt idx="0">
                  <c:v>4</c:v>
                </c:pt>
                <c:pt idx="1">
                  <c:v>1</c:v>
                </c:pt>
                <c:pt idx="2">
                  <c:v>1</c:v>
                </c:pt>
                <c:pt idx="3">
                  <c:v>3</c:v>
                </c:pt>
                <c:pt idx="4">
                  <c:v>21</c:v>
                </c:pt>
                <c:pt idx="5">
                  <c:v>47</c:v>
                </c:pt>
                <c:pt idx="6">
                  <c:v>56</c:v>
                </c:pt>
                <c:pt idx="7">
                  <c:v>51</c:v>
                </c:pt>
                <c:pt idx="8">
                  <c:v>45</c:v>
                </c:pt>
                <c:pt idx="9">
                  <c:v>26</c:v>
                </c:pt>
                <c:pt idx="10">
                  <c:v>18</c:v>
                </c:pt>
                <c:pt idx="11">
                  <c:v>12</c:v>
                </c:pt>
              </c:numCache>
            </c:numRef>
          </c:val>
          <c:smooth val="0"/>
        </c:ser>
        <c:ser>
          <c:idx val="5"/>
          <c:order val="5"/>
          <c:tx>
            <c:strRef>
              <c:f>'DIR1'!$BN$9</c:f>
              <c:strCache>
                <c:ptCount val="1"/>
                <c:pt idx="0">
                  <c:v>Sun 17 Jun</c:v>
                </c:pt>
              </c:strCache>
            </c:strRef>
          </c:tx>
          <c:spPr>
            <a:ln w="12700" cap="rnd">
              <a:solidFill>
                <a:schemeClr val="accent6"/>
              </a:solidFill>
              <a:round/>
            </a:ln>
            <a:effectLst/>
          </c:spPr>
          <c:marker>
            <c:symbol val="circle"/>
            <c:size val="3"/>
            <c:spPr>
              <a:solidFill>
                <a:schemeClr val="accent6"/>
              </a:solidFill>
              <a:ln w="9525">
                <a:solidFill>
                  <a:schemeClr val="accent6"/>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'DIR1'!$BE$115:$BE$138</c15:sqref>
                  </c15:fullRef>
                </c:ext>
              </c:extLst>
              <c:f>('DIR1'!$BE$115,'DIR1'!$BE$117,'DIR1'!$BE$119,'DIR1'!$BE$121,'DIR1'!$BE$123,'DIR1'!$BE$125,'DIR1'!$BE$127,'DIR1'!$BE$129,'DIR1'!$BE$131,'DIR1'!$BE$133,'DIR1'!$BE$135,'DIR1'!$BE$137)</c:f>
              <c:numCache>
                <c:formatCode>0</c:formatCode>
                <c:ptCount val="12"/>
                <c:pt idx="0">
                  <c:v>2</c:v>
                </c:pt>
                <c:pt idx="1">
                  <c:v>1</c:v>
                </c:pt>
                <c:pt idx="2">
                  <c:v>1</c:v>
                </c:pt>
                <c:pt idx="3">
                  <c:v>3</c:v>
                </c:pt>
                <c:pt idx="4">
                  <c:v>12</c:v>
                </c:pt>
                <c:pt idx="5">
                  <c:v>42</c:v>
                </c:pt>
                <c:pt idx="6">
                  <c:v>79</c:v>
                </c:pt>
                <c:pt idx="7">
                  <c:v>63</c:v>
                </c:pt>
                <c:pt idx="8">
                  <c:v>31</c:v>
                </c:pt>
                <c:pt idx="9">
                  <c:v>27</c:v>
                </c:pt>
                <c:pt idx="10">
                  <c:v>17</c:v>
                </c:pt>
                <c:pt idx="11">
                  <c:v>5</c:v>
                </c:pt>
              </c:numCache>
            </c:numRef>
          </c:val>
          <c:smooth val="0"/>
        </c:ser>
        <c:ser>
          <c:idx val="6"/>
          <c:order val="6"/>
          <c:tx>
            <c:strRef>
              <c:f>'DIR1'!$BO$9</c:f>
              <c:strCache>
                <c:ptCount val="1"/>
                <c:pt idx="0">
                  <c:v>Mon 18 Jun</c:v>
                </c:pt>
              </c:strCache>
            </c:strRef>
          </c:tx>
          <c:spPr>
            <a:ln w="12700" cap="rnd">
              <a:solidFill>
                <a:schemeClr val="accent1">
                  <a:lumMod val="60000"/>
                </a:schemeClr>
              </a:solidFill>
              <a:round/>
            </a:ln>
            <a:effectLst/>
          </c:spPr>
          <c:marker>
            <c:symbol val="circle"/>
            <c:size val="3"/>
            <c:spPr>
              <a:solidFill>
                <a:schemeClr val="accent1">
                  <a:lumMod val="60000"/>
                </a:schemeClr>
              </a:solidFill>
              <a:ln w="9525">
                <a:solidFill>
                  <a:schemeClr val="accent1">
                    <a:lumMod val="60000"/>
                  </a:schemeClr>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'DIR1'!$BF$115:$BF$138</c15:sqref>
                  </c15:fullRef>
                </c:ext>
              </c:extLst>
              <c:f>('DIR1'!$BF$115,'DIR1'!$BF$117,'DIR1'!$BF$119,'DIR1'!$BF$121,'DIR1'!$BF$123,'DIR1'!$BF$125,'DIR1'!$BF$127,'DIR1'!$BF$129,'DIR1'!$BF$131,'DIR1'!$BF$133,'DIR1'!$BF$135,'DIR1'!$BF$137)</c:f>
              <c:numCache>
                <c:formatCode>0</c:formatCode>
                <c:ptCount val="12"/>
                <c:pt idx="0">
                  <c:v>#N/A</c:v>
                </c:pt>
                <c:pt idx="1">
                  <c:v>#N/A</c:v>
                </c:pt>
                <c:pt idx="2">
                  <c:v>#N/A</c:v>
                </c:pt>
                <c:pt idx="3">
                  <c:v>11</c:v>
                </c:pt>
                <c:pt idx="4">
                  <c:v>37</c:v>
                </c:pt>
                <c:pt idx="5">
                  <c:v>37</c:v>
                </c:pt>
                <c:pt idx="6">
                  <c:v>48</c:v>
                </c:pt>
                <c:pt idx="7">
                  <c:v>47</c:v>
                </c:pt>
                <c:pt idx="8">
                  <c:v>63</c:v>
                </c:pt>
                <c:pt idx="9">
                  <c:v>56</c:v>
                </c:pt>
                <c:pt idx="10">
                  <c:v>17</c:v>
                </c:pt>
                <c:pt idx="11">
                  <c:v>14</c:v>
                </c:pt>
              </c:numCache>
            </c:numRef>
          </c:val>
          <c:smooth val="0"/>
        </c:ser>
        <c:dLbls>
          <c:showLegendKey val="0"/>
          <c:showVal val="0"/>
          <c:showCatName val="0"/>
          <c:showSerName val="0"/>
          <c:showPercent val="0"/>
          <c:showBubbleSize val="0"/>
        </c:dLbls>
        <c:marker val="1"/>
        <c:smooth val="0"/>
        <c:axId val="-1604614416"/>
        <c:axId val="-1604618768"/>
      </c:lineChart>
      <c:catAx>
        <c:axId val="-16046144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24 hours</a:t>
                </a:r>
              </a:p>
            </c:rich>
          </c:tx>
          <c:layout>
            <c:manualLayout>
              <c:xMode val="edge"/>
              <c:yMode val="edge"/>
              <c:x val="0.14046038071030434"/>
              <c:y val="0.8499420245996945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4618768"/>
        <c:crosses val="autoZero"/>
        <c:auto val="1"/>
        <c:lblAlgn val="ctr"/>
        <c:lblOffset val="100"/>
        <c:noMultiLvlLbl val="0"/>
      </c:catAx>
      <c:valAx>
        <c:axId val="-1604618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002060"/>
                    </a:solidFill>
                    <a:latin typeface="+mn-lt"/>
                    <a:ea typeface="+mn-ea"/>
                    <a:cs typeface="+mn-cs"/>
                  </a:defRPr>
                </a:pPr>
                <a:r>
                  <a:rPr lang="en-GB" sz="1000" b="0" i="0" u="none" strike="noStrike" baseline="0">
                    <a:solidFill>
                      <a:srgbClr val="002060"/>
                    </a:solidFill>
                    <a:effectLst/>
                  </a:rPr>
                  <a:t>Volume</a:t>
                </a:r>
                <a:endParaRPr lang="en-GB">
                  <a:solidFill>
                    <a:srgbClr val="002060"/>
                  </a:solidFill>
                </a:endParaRPr>
              </a:p>
            </c:rich>
          </c:tx>
          <c:layout>
            <c:manualLayout>
              <c:xMode val="edge"/>
              <c:yMode val="edge"/>
              <c:x val="1.8776959975304534E-2"/>
              <c:y val="0.605450496775952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2060"/>
                </a:solidFill>
                <a:latin typeface="+mn-lt"/>
                <a:ea typeface="+mn-ea"/>
                <a:cs typeface="+mn-cs"/>
              </a:defRPr>
            </a:pPr>
            <a:endParaRPr lang="en-US"/>
          </a:p>
        </c:txPr>
        <c:crossAx val="-16046144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63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'DIR1'!$BI$9</c:f>
              <c:strCache>
                <c:ptCount val="1"/>
                <c:pt idx="0">
                  <c:v>Tue 12 Jun</c:v>
                </c:pt>
              </c:strCache>
            </c:strRef>
          </c:tx>
          <c:spPr>
            <a:ln w="12700" cap="rnd">
              <a:solidFill>
                <a:schemeClr val="accent1"/>
              </a:solidFill>
              <a:round/>
            </a:ln>
            <a:effectLst/>
          </c:spPr>
          <c:marker>
            <c:symbol val="circle"/>
            <c:size val="3"/>
            <c:spPr>
              <a:solidFill>
                <a:schemeClr val="accent1"/>
              </a:solidFill>
              <a:ln w="9525">
                <a:solidFill>
                  <a:schemeClr val="accent1"/>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'DIR2'!$AZ$115:$AZ$138</c15:sqref>
                  </c15:fullRef>
                </c:ext>
              </c:extLst>
              <c:f>('DIR2'!$AZ$115,'DIR2'!$AZ$117,'DIR2'!$AZ$119,'DIR2'!$AZ$121,'DIR2'!$AZ$123,'DIR2'!$AZ$125,'DIR2'!$AZ$127,'DIR2'!$AZ$129,'DIR2'!$AZ$131,'DIR2'!$AZ$133,'DIR2'!$AZ$135,'DIR2'!$AZ$137)</c:f>
              <c:numCache>
                <c:formatCode>0</c:formatCode>
                <c:ptCount val="12"/>
                <c:pt idx="0">
                  <c:v>1</c:v>
                </c:pt>
                <c:pt idx="1">
                  <c:v>#N/A</c:v>
                </c:pt>
                <c:pt idx="2">
                  <c:v>#N/A</c:v>
                </c:pt>
                <c:pt idx="3">
                  <c:v>25</c:v>
                </c:pt>
                <c:pt idx="4">
                  <c:v>90</c:v>
                </c:pt>
                <c:pt idx="5">
                  <c:v>37</c:v>
                </c:pt>
                <c:pt idx="6">
                  <c:v>33</c:v>
                </c:pt>
                <c:pt idx="7">
                  <c:v>38</c:v>
                </c:pt>
                <c:pt idx="8">
                  <c:v>37</c:v>
                </c:pt>
                <c:pt idx="9">
                  <c:v>30</c:v>
                </c:pt>
                <c:pt idx="10">
                  <c:v>21</c:v>
                </c:pt>
                <c:pt idx="11">
                  <c:v>4</c:v>
                </c:pt>
              </c:numCache>
            </c:numRef>
          </c:val>
          <c:smooth val="0"/>
        </c:ser>
        <c:ser>
          <c:idx val="1"/>
          <c:order val="1"/>
          <c:tx>
            <c:strRef>
              <c:f>'DIR1'!$BJ$9</c:f>
              <c:strCache>
                <c:ptCount val="1"/>
                <c:pt idx="0">
                  <c:v>Wed 13 Jun</c:v>
                </c:pt>
              </c:strCache>
            </c:strRef>
          </c:tx>
          <c:spPr>
            <a:ln w="12700" cap="rnd">
              <a:solidFill>
                <a:schemeClr val="accent2"/>
              </a:solidFill>
              <a:round/>
            </a:ln>
            <a:effectLst/>
          </c:spPr>
          <c:marker>
            <c:symbol val="circle"/>
            <c:size val="3"/>
            <c:spPr>
              <a:solidFill>
                <a:schemeClr val="accent2"/>
              </a:solidFill>
              <a:ln w="9525">
                <a:solidFill>
                  <a:schemeClr val="accent2"/>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'DIR2'!$BA$115:$BA$138</c15:sqref>
                  </c15:fullRef>
                </c:ext>
              </c:extLst>
              <c:f>('DIR2'!$BA$115,'DIR2'!$BA$117,'DIR2'!$BA$119,'DIR2'!$BA$121,'DIR2'!$BA$123,'DIR2'!$BA$125,'DIR2'!$BA$127,'DIR2'!$BA$129,'DIR2'!$BA$131,'DIR2'!$BA$133,'DIR2'!$BA$135,'DIR2'!$BA$137)</c:f>
              <c:numCache>
                <c:formatCode>0</c:formatCode>
                <c:ptCount val="12"/>
                <c:pt idx="0">
                  <c:v>#N/A</c:v>
                </c:pt>
                <c:pt idx="1">
                  <c:v>#N/A</c:v>
                </c:pt>
                <c:pt idx="2">
                  <c:v>1</c:v>
                </c:pt>
                <c:pt idx="3">
                  <c:v>33</c:v>
                </c:pt>
                <c:pt idx="4">
                  <c:v>95</c:v>
                </c:pt>
                <c:pt idx="5">
                  <c:v>39</c:v>
                </c:pt>
                <c:pt idx="6">
                  <c:v>36</c:v>
                </c:pt>
                <c:pt idx="7">
                  <c:v>34</c:v>
                </c:pt>
                <c:pt idx="8">
                  <c:v>46</c:v>
                </c:pt>
                <c:pt idx="9">
                  <c:v>44</c:v>
                </c:pt>
                <c:pt idx="10">
                  <c:v>12</c:v>
                </c:pt>
                <c:pt idx="11">
                  <c:v>11</c:v>
                </c:pt>
              </c:numCache>
            </c:numRef>
          </c:val>
          <c:smooth val="0"/>
        </c:ser>
        <c:ser>
          <c:idx val="2"/>
          <c:order val="2"/>
          <c:tx>
            <c:strRef>
              <c:f>'DIR1'!$BK$9</c:f>
              <c:strCache>
                <c:ptCount val="1"/>
                <c:pt idx="0">
                  <c:v>Thu 14 Jun</c:v>
                </c:pt>
              </c:strCache>
            </c:strRef>
          </c:tx>
          <c:spPr>
            <a:ln w="12700" cap="rnd">
              <a:solidFill>
                <a:schemeClr val="accent3"/>
              </a:solidFill>
              <a:round/>
            </a:ln>
            <a:effectLst/>
          </c:spPr>
          <c:marker>
            <c:symbol val="circle"/>
            <c:size val="3"/>
            <c:spPr>
              <a:solidFill>
                <a:schemeClr val="accent3"/>
              </a:solidFill>
              <a:ln w="9525">
                <a:solidFill>
                  <a:schemeClr val="accent3"/>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'DIR2'!$BB$115:$BB$138</c15:sqref>
                  </c15:fullRef>
                </c:ext>
              </c:extLst>
              <c:f>('DIR2'!$BB$115,'DIR2'!$BB$117,'DIR2'!$BB$119,'DIR2'!$BB$121,'DIR2'!$BB$123,'DIR2'!$BB$125,'DIR2'!$BB$127,'DIR2'!$BB$129,'DIR2'!$BB$131,'DIR2'!$BB$133,'DIR2'!$BB$135,'DIR2'!$BB$137)</c:f>
              <c:numCache>
                <c:formatCode>0</c:formatCode>
                <c:ptCount val="12"/>
                <c:pt idx="0">
                  <c:v>#N/A</c:v>
                </c:pt>
                <c:pt idx="1">
                  <c:v>2</c:v>
                </c:pt>
                <c:pt idx="2">
                  <c:v>1</c:v>
                </c:pt>
                <c:pt idx="3">
                  <c:v>36</c:v>
                </c:pt>
                <c:pt idx="4">
                  <c:v>81</c:v>
                </c:pt>
                <c:pt idx="5">
                  <c:v>40</c:v>
                </c:pt>
                <c:pt idx="6">
                  <c:v>38</c:v>
                </c:pt>
                <c:pt idx="7">
                  <c:v>33</c:v>
                </c:pt>
                <c:pt idx="8">
                  <c:v>55</c:v>
                </c:pt>
                <c:pt idx="9">
                  <c:v>26</c:v>
                </c:pt>
                <c:pt idx="10">
                  <c:v>22</c:v>
                </c:pt>
                <c:pt idx="11">
                  <c:v>11</c:v>
                </c:pt>
              </c:numCache>
            </c:numRef>
          </c:val>
          <c:smooth val="0"/>
        </c:ser>
        <c:ser>
          <c:idx val="3"/>
          <c:order val="3"/>
          <c:tx>
            <c:strRef>
              <c:f>'DIR1'!$BL$9</c:f>
              <c:strCache>
                <c:ptCount val="1"/>
                <c:pt idx="0">
                  <c:v>Fri 15 Jun</c:v>
                </c:pt>
              </c:strCache>
            </c:strRef>
          </c:tx>
          <c:spPr>
            <a:ln w="12700" cap="rnd">
              <a:solidFill>
                <a:schemeClr val="accent4"/>
              </a:solidFill>
              <a:round/>
            </a:ln>
            <a:effectLst/>
          </c:spPr>
          <c:marker>
            <c:symbol val="circle"/>
            <c:size val="3"/>
            <c:spPr>
              <a:solidFill>
                <a:schemeClr val="accent4"/>
              </a:solidFill>
              <a:ln w="9525">
                <a:solidFill>
                  <a:schemeClr val="accent4"/>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'DIR2'!$BC$115:$BC$138</c15:sqref>
                  </c15:fullRef>
                </c:ext>
              </c:extLst>
              <c:f>('DIR2'!$BC$115,'DIR2'!$BC$117,'DIR2'!$BC$119,'DIR2'!$BC$121,'DIR2'!$BC$123,'DIR2'!$BC$125,'DIR2'!$BC$127,'DIR2'!$BC$129,'DIR2'!$BC$131,'DIR2'!$BC$133,'DIR2'!$BC$135,'DIR2'!$BC$137)</c:f>
              <c:numCache>
                <c:formatCode>0</c:formatCode>
                <c:ptCount val="12"/>
                <c:pt idx="0">
                  <c:v>3</c:v>
                </c:pt>
                <c:pt idx="1">
                  <c:v>#N/A</c:v>
                </c:pt>
                <c:pt idx="2">
                  <c:v>2</c:v>
                </c:pt>
                <c:pt idx="3">
                  <c:v>28</c:v>
                </c:pt>
                <c:pt idx="4">
                  <c:v>102</c:v>
                </c:pt>
                <c:pt idx="5">
                  <c:v>36</c:v>
                </c:pt>
                <c:pt idx="6">
                  <c:v>26</c:v>
                </c:pt>
                <c:pt idx="7">
                  <c:v>58</c:v>
                </c:pt>
                <c:pt idx="8">
                  <c:v>55</c:v>
                </c:pt>
                <c:pt idx="9">
                  <c:v>42</c:v>
                </c:pt>
                <c:pt idx="10">
                  <c:v>23</c:v>
                </c:pt>
                <c:pt idx="11">
                  <c:v>5</c:v>
                </c:pt>
              </c:numCache>
            </c:numRef>
          </c:val>
          <c:smooth val="0"/>
        </c:ser>
        <c:ser>
          <c:idx val="4"/>
          <c:order val="4"/>
          <c:tx>
            <c:strRef>
              <c:f>'DIR1'!$BM$9</c:f>
              <c:strCache>
                <c:ptCount val="1"/>
                <c:pt idx="0">
                  <c:v>Sat 16 Jun</c:v>
                </c:pt>
              </c:strCache>
            </c:strRef>
          </c:tx>
          <c:spPr>
            <a:ln w="12700" cap="rnd">
              <a:solidFill>
                <a:schemeClr val="accent5"/>
              </a:solidFill>
              <a:round/>
            </a:ln>
            <a:effectLst/>
          </c:spPr>
          <c:marker>
            <c:symbol val="circle"/>
            <c:size val="3"/>
            <c:spPr>
              <a:solidFill>
                <a:schemeClr val="accent5"/>
              </a:solidFill>
              <a:ln w="9525">
                <a:solidFill>
                  <a:schemeClr val="accent5"/>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'DIR2'!$BD$115:$BD$138</c15:sqref>
                  </c15:fullRef>
                </c:ext>
              </c:extLst>
              <c:f>('DIR2'!$BD$115,'DIR2'!$BD$117,'DIR2'!$BD$119,'DIR2'!$BD$121,'DIR2'!$BD$123,'DIR2'!$BD$125,'DIR2'!$BD$127,'DIR2'!$BD$129,'DIR2'!$BD$131,'DIR2'!$BD$133,'DIR2'!$BD$135,'DIR2'!$BD$137)</c:f>
              <c:numCache>
                <c:formatCode>0</c:formatCode>
                <c:ptCount val="12"/>
                <c:pt idx="0">
                  <c:v>1</c:v>
                </c:pt>
                <c:pt idx="1">
                  <c:v>2</c:v>
                </c:pt>
                <c:pt idx="2">
                  <c:v>1</c:v>
                </c:pt>
                <c:pt idx="3">
                  <c:v>10</c:v>
                </c:pt>
                <c:pt idx="4">
                  <c:v>61</c:v>
                </c:pt>
                <c:pt idx="5">
                  <c:v>36</c:v>
                </c:pt>
                <c:pt idx="6">
                  <c:v>55</c:v>
                </c:pt>
                <c:pt idx="7">
                  <c:v>27</c:v>
                </c:pt>
                <c:pt idx="8">
                  <c:v>43</c:v>
                </c:pt>
                <c:pt idx="9">
                  <c:v>28</c:v>
                </c:pt>
                <c:pt idx="10">
                  <c:v>14</c:v>
                </c:pt>
                <c:pt idx="11">
                  <c:v>10</c:v>
                </c:pt>
              </c:numCache>
            </c:numRef>
          </c:val>
          <c:smooth val="0"/>
        </c:ser>
        <c:ser>
          <c:idx val="5"/>
          <c:order val="5"/>
          <c:tx>
            <c:strRef>
              <c:f>'DIR1'!$BN$9</c:f>
              <c:strCache>
                <c:ptCount val="1"/>
                <c:pt idx="0">
                  <c:v>Sun 17 Jun</c:v>
                </c:pt>
              </c:strCache>
            </c:strRef>
          </c:tx>
          <c:spPr>
            <a:ln w="12700" cap="rnd">
              <a:solidFill>
                <a:schemeClr val="accent6"/>
              </a:solidFill>
              <a:round/>
            </a:ln>
            <a:effectLst/>
          </c:spPr>
          <c:marker>
            <c:symbol val="circle"/>
            <c:size val="3"/>
            <c:spPr>
              <a:solidFill>
                <a:schemeClr val="accent6"/>
              </a:solidFill>
              <a:ln w="9525">
                <a:solidFill>
                  <a:schemeClr val="accent6"/>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'DIR2'!$BE$115:$BE$138</c15:sqref>
                  </c15:fullRef>
                </c:ext>
              </c:extLst>
              <c:f>('DIR2'!$BE$115,'DIR2'!$BE$117,'DIR2'!$BE$119,'DIR2'!$BE$121,'DIR2'!$BE$123,'DIR2'!$BE$125,'DIR2'!$BE$127,'DIR2'!$BE$129,'DIR2'!$BE$131,'DIR2'!$BE$133,'DIR2'!$BE$135,'DIR2'!$BE$137)</c:f>
              <c:numCache>
                <c:formatCode>0</c:formatCode>
                <c:ptCount val="12"/>
                <c:pt idx="0">
                  <c:v>4</c:v>
                </c:pt>
                <c:pt idx="1">
                  <c:v>3</c:v>
                </c:pt>
                <c:pt idx="2">
                  <c:v>2</c:v>
                </c:pt>
                <c:pt idx="3">
                  <c:v>4</c:v>
                </c:pt>
                <c:pt idx="4">
                  <c:v>23</c:v>
                </c:pt>
                <c:pt idx="5">
                  <c:v>41</c:v>
                </c:pt>
                <c:pt idx="6">
                  <c:v>42</c:v>
                </c:pt>
                <c:pt idx="7">
                  <c:v>34</c:v>
                </c:pt>
                <c:pt idx="8">
                  <c:v>57</c:v>
                </c:pt>
                <c:pt idx="9">
                  <c:v>35</c:v>
                </c:pt>
                <c:pt idx="10">
                  <c:v>18</c:v>
                </c:pt>
                <c:pt idx="11">
                  <c:v>7</c:v>
                </c:pt>
              </c:numCache>
            </c:numRef>
          </c:val>
          <c:smooth val="0"/>
        </c:ser>
        <c:ser>
          <c:idx val="6"/>
          <c:order val="6"/>
          <c:tx>
            <c:strRef>
              <c:f>'DIR1'!$BO$9</c:f>
              <c:strCache>
                <c:ptCount val="1"/>
                <c:pt idx="0">
                  <c:v>Mon 18 Jun</c:v>
                </c:pt>
              </c:strCache>
            </c:strRef>
          </c:tx>
          <c:spPr>
            <a:ln w="12700" cap="rnd">
              <a:solidFill>
                <a:schemeClr val="accent1">
                  <a:lumMod val="60000"/>
                </a:schemeClr>
              </a:solidFill>
              <a:round/>
            </a:ln>
            <a:effectLst/>
          </c:spPr>
          <c:marker>
            <c:symbol val="circle"/>
            <c:size val="3"/>
            <c:spPr>
              <a:solidFill>
                <a:schemeClr val="accent1">
                  <a:lumMod val="60000"/>
                </a:schemeClr>
              </a:solidFill>
              <a:ln w="9525">
                <a:solidFill>
                  <a:schemeClr val="accent1">
                    <a:lumMod val="60000"/>
                  </a:schemeClr>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'DIR2'!$BF$115:$BF$138</c15:sqref>
                  </c15:fullRef>
                </c:ext>
              </c:extLst>
              <c:f>('DIR2'!$BF$115,'DIR2'!$BF$117,'DIR2'!$BF$119,'DIR2'!$BF$121,'DIR2'!$BF$123,'DIR2'!$BF$125,'DIR2'!$BF$127,'DIR2'!$BF$129,'DIR2'!$BF$131,'DIR2'!$BF$133,'DIR2'!$BF$135,'DIR2'!$BF$137)</c:f>
              <c:numCache>
                <c:formatCode>0</c:formatCode>
                <c:ptCount val="12"/>
                <c:pt idx="0">
                  <c:v>#N/A</c:v>
                </c:pt>
                <c:pt idx="1">
                  <c:v>#N/A</c:v>
                </c:pt>
                <c:pt idx="2">
                  <c:v>1</c:v>
                </c:pt>
                <c:pt idx="3">
                  <c:v>27</c:v>
                </c:pt>
                <c:pt idx="4">
                  <c:v>91</c:v>
                </c:pt>
                <c:pt idx="5">
                  <c:v>40</c:v>
                </c:pt>
                <c:pt idx="6">
                  <c:v>31</c:v>
                </c:pt>
                <c:pt idx="7">
                  <c:v>39</c:v>
                </c:pt>
                <c:pt idx="8">
                  <c:v>48</c:v>
                </c:pt>
                <c:pt idx="9">
                  <c:v>29</c:v>
                </c:pt>
                <c:pt idx="10">
                  <c:v>15</c:v>
                </c:pt>
                <c:pt idx="11">
                  <c:v>9</c:v>
                </c:pt>
              </c:numCache>
            </c:numRef>
          </c:val>
          <c:smooth val="0"/>
        </c:ser>
        <c:dLbls>
          <c:showLegendKey val="0"/>
          <c:showVal val="0"/>
          <c:showCatName val="0"/>
          <c:showSerName val="0"/>
          <c:showPercent val="0"/>
          <c:showBubbleSize val="0"/>
        </c:dLbls>
        <c:marker val="1"/>
        <c:smooth val="0"/>
        <c:axId val="-1604624752"/>
        <c:axId val="-1604623664"/>
      </c:lineChart>
      <c:catAx>
        <c:axId val="-16046247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24 hours</a:t>
                </a:r>
              </a:p>
            </c:rich>
          </c:tx>
          <c:layout>
            <c:manualLayout>
              <c:xMode val="edge"/>
              <c:yMode val="edge"/>
              <c:x val="0.14425720443233253"/>
              <c:y val="0.855080109623269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4623664"/>
        <c:crosses val="autoZero"/>
        <c:auto val="1"/>
        <c:lblAlgn val="ctr"/>
        <c:lblOffset val="100"/>
        <c:noMultiLvlLbl val="0"/>
      </c:catAx>
      <c:valAx>
        <c:axId val="-1604623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a:defRPr sz="1000" b="0" i="0" u="none" strike="noStrike" kern="1200" baseline="0">
                    <a:solidFill>
                      <a:srgbClr val="002060"/>
                    </a:solidFill>
                    <a:latin typeface="+mn-lt"/>
                    <a:ea typeface="+mn-ea"/>
                    <a:cs typeface="+mn-cs"/>
                  </a:defRPr>
                </a:pPr>
                <a:r>
                  <a:rPr lang="en-GB">
                    <a:solidFill>
                      <a:srgbClr val="002060"/>
                    </a:solidFill>
                  </a:rPr>
                  <a:t>Volume</a:t>
                </a:r>
              </a:p>
            </c:rich>
          </c:tx>
          <c:layout>
            <c:manualLayout>
              <c:xMode val="edge"/>
              <c:yMode val="edge"/>
              <c:x val="1.8762987364800567E-2"/>
              <c:y val="0.59517432672880377"/>
            </c:manualLayout>
          </c:layout>
          <c:overlay val="0"/>
          <c:spPr>
            <a:noFill/>
            <a:ln>
              <a:noFill/>
            </a:ln>
            <a:effectLst/>
          </c:spPr>
          <c:txPr>
            <a:bodyPr rot="-5400000" spcFirstLastPara="1" vertOverflow="ellipsis" vert="horz" wrap="square" anchor="ctr" anchorCtr="1"/>
            <a:lstStyle/>
            <a:p>
              <a:pPr algn="ctr">
                <a:defRPr sz="1000" b="0"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2060"/>
                </a:solidFill>
                <a:latin typeface="+mn-lt"/>
                <a:ea typeface="+mn-ea"/>
                <a:cs typeface="+mn-cs"/>
              </a:defRPr>
            </a:pPr>
            <a:endParaRPr lang="en-US"/>
          </a:p>
        </c:txPr>
        <c:crossAx val="-16046247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63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'DIR1'!$BI$9</c:f>
              <c:strCache>
                <c:ptCount val="1"/>
                <c:pt idx="0">
                  <c:v>Tue 12 Jun</c:v>
                </c:pt>
              </c:strCache>
            </c:strRef>
          </c:tx>
          <c:spPr>
            <a:ln w="12700" cap="rnd">
              <a:solidFill>
                <a:schemeClr val="accent1"/>
              </a:solidFill>
              <a:round/>
            </a:ln>
            <a:effectLst/>
          </c:spPr>
          <c:marker>
            <c:symbol val="circle"/>
            <c:size val="3"/>
            <c:spPr>
              <a:solidFill>
                <a:schemeClr val="accent1"/>
              </a:solidFill>
              <a:ln w="9525">
                <a:solidFill>
                  <a:schemeClr val="accent1"/>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'DIR1'!$BI$115:$BI$138</c15:sqref>
                  </c15:fullRef>
                </c:ext>
              </c:extLst>
              <c:f>('DIR1'!$BI$115,'DIR1'!$BI$117,'DIR1'!$BI$119,'DIR1'!$BI$121,'DIR1'!$BI$123,'DIR1'!$BI$125,'DIR1'!$BI$127,'DIR1'!$BI$129,'DIR1'!$BI$131,'DIR1'!$BI$133,'DIR1'!$BI$135,'DIR1'!$BI$137)</c:f>
              <c:numCache>
                <c:formatCode>0.0</c:formatCode>
                <c:ptCount val="12"/>
                <c:pt idx="0">
                  <c:v>50.933333333333337</c:v>
                </c:pt>
                <c:pt idx="1">
                  <c:v>#N/A</c:v>
                </c:pt>
                <c:pt idx="2">
                  <c:v>#N/A</c:v>
                </c:pt>
                <c:pt idx="3">
                  <c:v>38.563636363636363</c:v>
                </c:pt>
                <c:pt idx="4">
                  <c:v>39.5</c:v>
                </c:pt>
                <c:pt idx="5">
                  <c:v>38.84791666666667</c:v>
                </c:pt>
                <c:pt idx="6">
                  <c:v>38.637837837837836</c:v>
                </c:pt>
                <c:pt idx="7">
                  <c:v>42.075609756097556</c:v>
                </c:pt>
                <c:pt idx="8">
                  <c:v>41.548648648648651</c:v>
                </c:pt>
                <c:pt idx="9">
                  <c:v>45.705357142857146</c:v>
                </c:pt>
                <c:pt idx="10">
                  <c:v>43.154545454545456</c:v>
                </c:pt>
                <c:pt idx="11">
                  <c:v>42.918181818181822</c:v>
                </c:pt>
              </c:numCache>
            </c:numRef>
          </c:val>
          <c:smooth val="0"/>
        </c:ser>
        <c:ser>
          <c:idx val="1"/>
          <c:order val="1"/>
          <c:tx>
            <c:strRef>
              <c:f>'DIR1'!$BJ$9</c:f>
              <c:strCache>
                <c:ptCount val="1"/>
                <c:pt idx="0">
                  <c:v>Wed 13 Jun</c:v>
                </c:pt>
              </c:strCache>
            </c:strRef>
          </c:tx>
          <c:spPr>
            <a:ln w="12700" cap="rnd">
              <a:solidFill>
                <a:schemeClr val="accent2"/>
              </a:solidFill>
              <a:round/>
            </a:ln>
            <a:effectLst/>
          </c:spPr>
          <c:marker>
            <c:symbol val="circle"/>
            <c:size val="3"/>
            <c:spPr>
              <a:solidFill>
                <a:schemeClr val="accent2"/>
              </a:solidFill>
              <a:ln w="9525">
                <a:solidFill>
                  <a:schemeClr val="accent2"/>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'DIR1'!$BJ$115:$BJ$138</c15:sqref>
                  </c15:fullRef>
                </c:ext>
              </c:extLst>
              <c:f>('DIR1'!$BJ$115,'DIR1'!$BJ$117,'DIR1'!$BJ$119,'DIR1'!$BJ$121,'DIR1'!$BJ$123,'DIR1'!$BJ$125,'DIR1'!$BJ$127,'DIR1'!$BJ$129,'DIR1'!$BJ$131,'DIR1'!$BJ$133,'DIR1'!$BJ$135,'DIR1'!$BJ$137)</c:f>
              <c:numCache>
                <c:formatCode>0.0</c:formatCode>
                <c:ptCount val="12"/>
                <c:pt idx="0">
                  <c:v>41.666666666666664</c:v>
                </c:pt>
                <c:pt idx="1">
                  <c:v>51.3</c:v>
                </c:pt>
                <c:pt idx="2">
                  <c:v>53.6</c:v>
                </c:pt>
                <c:pt idx="3">
                  <c:v>47.32</c:v>
                </c:pt>
                <c:pt idx="4">
                  <c:v>39.4</c:v>
                </c:pt>
                <c:pt idx="5">
                  <c:v>34.410000000000004</c:v>
                </c:pt>
                <c:pt idx="6">
                  <c:v>34.622222222222227</c:v>
                </c:pt>
                <c:pt idx="7">
                  <c:v>37.786666666666662</c:v>
                </c:pt>
                <c:pt idx="8">
                  <c:v>39.719696969696969</c:v>
                </c:pt>
                <c:pt idx="9">
                  <c:v>43.144642857142856</c:v>
                </c:pt>
                <c:pt idx="10">
                  <c:v>44.083333333333336</c:v>
                </c:pt>
                <c:pt idx="11">
                  <c:v>42.577777777777776</c:v>
                </c:pt>
              </c:numCache>
            </c:numRef>
          </c:val>
          <c:smooth val="0"/>
        </c:ser>
        <c:ser>
          <c:idx val="2"/>
          <c:order val="2"/>
          <c:tx>
            <c:strRef>
              <c:f>'DIR1'!$BK$9</c:f>
              <c:strCache>
                <c:ptCount val="1"/>
                <c:pt idx="0">
                  <c:v>Thu 14 Jun</c:v>
                </c:pt>
              </c:strCache>
            </c:strRef>
          </c:tx>
          <c:spPr>
            <a:ln w="12700" cap="rnd">
              <a:solidFill>
                <a:schemeClr val="accent3"/>
              </a:solidFill>
              <a:round/>
            </a:ln>
            <a:effectLst/>
          </c:spPr>
          <c:marker>
            <c:symbol val="circle"/>
            <c:size val="3"/>
            <c:spPr>
              <a:solidFill>
                <a:schemeClr val="accent3"/>
              </a:solidFill>
              <a:ln w="9525">
                <a:solidFill>
                  <a:schemeClr val="accent3"/>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'DIR1'!$BK$115:$BK$138</c15:sqref>
                  </c15:fullRef>
                </c:ext>
              </c:extLst>
              <c:f>('DIR1'!$BK$115,'DIR1'!$BK$117,'DIR1'!$BK$119,'DIR1'!$BK$121,'DIR1'!$BK$123,'DIR1'!$BK$125,'DIR1'!$BK$127,'DIR1'!$BK$129,'DIR1'!$BK$131,'DIR1'!$BK$133,'DIR1'!$BK$135,'DIR1'!$BK$137)</c:f>
              <c:numCache>
                <c:formatCode>0.0</c:formatCode>
                <c:ptCount val="12"/>
                <c:pt idx="0">
                  <c:v>44.2</c:v>
                </c:pt>
                <c:pt idx="1">
                  <c:v>#N/A</c:v>
                </c:pt>
                <c:pt idx="2">
                  <c:v>37.299999999999997</c:v>
                </c:pt>
                <c:pt idx="3">
                  <c:v>41.491666666666667</c:v>
                </c:pt>
                <c:pt idx="4">
                  <c:v>44.325925925925922</c:v>
                </c:pt>
                <c:pt idx="5">
                  <c:v>34.5</c:v>
                </c:pt>
                <c:pt idx="6">
                  <c:v>33.738461538461536</c:v>
                </c:pt>
                <c:pt idx="7">
                  <c:v>36.484210526315785</c:v>
                </c:pt>
                <c:pt idx="8">
                  <c:v>42.356000000000002</c:v>
                </c:pt>
                <c:pt idx="9">
                  <c:v>43.364285714285714</c:v>
                </c:pt>
                <c:pt idx="10">
                  <c:v>47.275757575757581</c:v>
                </c:pt>
                <c:pt idx="11">
                  <c:v>46.723076923076924</c:v>
                </c:pt>
              </c:numCache>
            </c:numRef>
          </c:val>
          <c:smooth val="0"/>
        </c:ser>
        <c:ser>
          <c:idx val="3"/>
          <c:order val="3"/>
          <c:tx>
            <c:strRef>
              <c:f>'DIR1'!$BL$9</c:f>
              <c:strCache>
                <c:ptCount val="1"/>
                <c:pt idx="0">
                  <c:v>Fri 15 Jun</c:v>
                </c:pt>
              </c:strCache>
            </c:strRef>
          </c:tx>
          <c:spPr>
            <a:ln w="12700" cap="rnd">
              <a:solidFill>
                <a:schemeClr val="accent4"/>
              </a:solidFill>
              <a:round/>
            </a:ln>
            <a:effectLst/>
          </c:spPr>
          <c:marker>
            <c:symbol val="circle"/>
            <c:size val="3"/>
            <c:spPr>
              <a:solidFill>
                <a:schemeClr val="accent4"/>
              </a:solidFill>
              <a:ln w="9525">
                <a:solidFill>
                  <a:schemeClr val="accent4"/>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'DIR1'!$BL$115:$BL$138</c15:sqref>
                  </c15:fullRef>
                </c:ext>
              </c:extLst>
              <c:f>('DIR1'!$BL$115,'DIR1'!$BL$117,'DIR1'!$BL$119,'DIR1'!$BL$121,'DIR1'!$BL$123,'DIR1'!$BL$125,'DIR1'!$BL$127,'DIR1'!$BL$129,'DIR1'!$BL$131,'DIR1'!$BL$133,'DIR1'!$BL$135,'DIR1'!$BL$137)</c:f>
              <c:numCache>
                <c:formatCode>0.0</c:formatCode>
                <c:ptCount val="12"/>
                <c:pt idx="0">
                  <c:v>45.6</c:v>
                </c:pt>
                <c:pt idx="1">
                  <c:v>38.5</c:v>
                </c:pt>
                <c:pt idx="2">
                  <c:v>48.1</c:v>
                </c:pt>
                <c:pt idx="3">
                  <c:v>45.45384615384615</c:v>
                </c:pt>
                <c:pt idx="4">
                  <c:v>35.54</c:v>
                </c:pt>
                <c:pt idx="5">
                  <c:v>39.090624999999996</c:v>
                </c:pt>
                <c:pt idx="6">
                  <c:v>41.836206896551722</c:v>
                </c:pt>
                <c:pt idx="7">
                  <c:v>38.771698113207549</c:v>
                </c:pt>
                <c:pt idx="8">
                  <c:v>43.925581395348836</c:v>
                </c:pt>
                <c:pt idx="9">
                  <c:v>43.457446808510639</c:v>
                </c:pt>
                <c:pt idx="10">
                  <c:v>43.413793103448278</c:v>
                </c:pt>
                <c:pt idx="11">
                  <c:v>42.599999999999994</c:v>
                </c:pt>
              </c:numCache>
            </c:numRef>
          </c:val>
          <c:smooth val="0"/>
        </c:ser>
        <c:ser>
          <c:idx val="4"/>
          <c:order val="4"/>
          <c:tx>
            <c:strRef>
              <c:f>'DIR1'!$BM$9</c:f>
              <c:strCache>
                <c:ptCount val="1"/>
                <c:pt idx="0">
                  <c:v>Sat 16 Jun</c:v>
                </c:pt>
              </c:strCache>
            </c:strRef>
          </c:tx>
          <c:spPr>
            <a:ln w="12700" cap="rnd">
              <a:solidFill>
                <a:schemeClr val="accent5"/>
              </a:solidFill>
              <a:round/>
            </a:ln>
            <a:effectLst/>
          </c:spPr>
          <c:marker>
            <c:symbol val="circle"/>
            <c:size val="3"/>
            <c:spPr>
              <a:solidFill>
                <a:schemeClr val="accent5"/>
              </a:solidFill>
              <a:ln w="9525">
                <a:solidFill>
                  <a:schemeClr val="accent5"/>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'DIR1'!$BM$115:$BM$138</c15:sqref>
                  </c15:fullRef>
                </c:ext>
              </c:extLst>
              <c:f>('DIR1'!$BM$115,'DIR1'!$BM$117,'DIR1'!$BM$119,'DIR1'!$BM$121,'DIR1'!$BM$123,'DIR1'!$BM$125,'DIR1'!$BM$127,'DIR1'!$BM$129,'DIR1'!$BM$131,'DIR1'!$BM$133,'DIR1'!$BM$135,'DIR1'!$BM$137)</c:f>
              <c:numCache>
                <c:formatCode>0.0</c:formatCode>
                <c:ptCount val="12"/>
                <c:pt idx="0">
                  <c:v>39.625</c:v>
                </c:pt>
                <c:pt idx="1">
                  <c:v>40.6</c:v>
                </c:pt>
                <c:pt idx="2">
                  <c:v>39.299999999999997</c:v>
                </c:pt>
                <c:pt idx="3">
                  <c:v>33.9</c:v>
                </c:pt>
                <c:pt idx="4">
                  <c:v>40.576190476190476</c:v>
                </c:pt>
                <c:pt idx="5">
                  <c:v>40.044680851063831</c:v>
                </c:pt>
                <c:pt idx="6">
                  <c:v>38.99821428571429</c:v>
                </c:pt>
                <c:pt idx="7">
                  <c:v>37.405882352941177</c:v>
                </c:pt>
                <c:pt idx="8">
                  <c:v>36.275555555555556</c:v>
                </c:pt>
                <c:pt idx="9">
                  <c:v>40.299999999999997</c:v>
                </c:pt>
                <c:pt idx="10">
                  <c:v>42.055555555555557</c:v>
                </c:pt>
                <c:pt idx="11">
                  <c:v>38.341666666666661</c:v>
                </c:pt>
              </c:numCache>
            </c:numRef>
          </c:val>
          <c:smooth val="0"/>
        </c:ser>
        <c:ser>
          <c:idx val="5"/>
          <c:order val="5"/>
          <c:tx>
            <c:strRef>
              <c:f>'DIR1'!$BN$9</c:f>
              <c:strCache>
                <c:ptCount val="1"/>
                <c:pt idx="0">
                  <c:v>Sun 17 Jun</c:v>
                </c:pt>
              </c:strCache>
            </c:strRef>
          </c:tx>
          <c:spPr>
            <a:ln w="12700" cap="rnd">
              <a:solidFill>
                <a:schemeClr val="accent6"/>
              </a:solidFill>
              <a:round/>
            </a:ln>
            <a:effectLst/>
          </c:spPr>
          <c:marker>
            <c:symbol val="circle"/>
            <c:size val="3"/>
            <c:spPr>
              <a:solidFill>
                <a:schemeClr val="accent6"/>
              </a:solidFill>
              <a:ln w="9525">
                <a:solidFill>
                  <a:schemeClr val="accent6"/>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'DIR1'!$BN$115:$BN$138</c15:sqref>
                  </c15:fullRef>
                </c:ext>
              </c:extLst>
              <c:f>('DIR1'!$BN$115,'DIR1'!$BN$117,'DIR1'!$BN$119,'DIR1'!$BN$121,'DIR1'!$BN$123,'DIR1'!$BN$125,'DIR1'!$BN$127,'DIR1'!$BN$129,'DIR1'!$BN$131,'DIR1'!$BN$133,'DIR1'!$BN$135,'DIR1'!$BN$137)</c:f>
              <c:numCache>
                <c:formatCode>0.0</c:formatCode>
                <c:ptCount val="12"/>
                <c:pt idx="0">
                  <c:v>49.2</c:v>
                </c:pt>
                <c:pt idx="1">
                  <c:v>36.799999999999997</c:v>
                </c:pt>
                <c:pt idx="2">
                  <c:v>47.2</c:v>
                </c:pt>
                <c:pt idx="3">
                  <c:v>42.633333333333333</c:v>
                </c:pt>
                <c:pt idx="4">
                  <c:v>35.283333333333331</c:v>
                </c:pt>
                <c:pt idx="5">
                  <c:v>34.021428571428572</c:v>
                </c:pt>
                <c:pt idx="6">
                  <c:v>38.644303797468353</c:v>
                </c:pt>
                <c:pt idx="7">
                  <c:v>39.420634920634917</c:v>
                </c:pt>
                <c:pt idx="8">
                  <c:v>42.277419354838706</c:v>
                </c:pt>
                <c:pt idx="9">
                  <c:v>43.203703703703702</c:v>
                </c:pt>
                <c:pt idx="10">
                  <c:v>43.288235294117648</c:v>
                </c:pt>
                <c:pt idx="11">
                  <c:v>46.48</c:v>
                </c:pt>
              </c:numCache>
            </c:numRef>
          </c:val>
          <c:smooth val="0"/>
        </c:ser>
        <c:ser>
          <c:idx val="6"/>
          <c:order val="6"/>
          <c:tx>
            <c:strRef>
              <c:f>'DIR1'!$BO$9</c:f>
              <c:strCache>
                <c:ptCount val="1"/>
                <c:pt idx="0">
                  <c:v>Mon 18 Jun</c:v>
                </c:pt>
              </c:strCache>
            </c:strRef>
          </c:tx>
          <c:spPr>
            <a:ln w="12700" cap="rnd">
              <a:solidFill>
                <a:schemeClr val="accent1">
                  <a:lumMod val="60000"/>
                </a:schemeClr>
              </a:solidFill>
              <a:round/>
            </a:ln>
            <a:effectLst/>
          </c:spPr>
          <c:marker>
            <c:symbol val="circle"/>
            <c:size val="3"/>
            <c:spPr>
              <a:solidFill>
                <a:schemeClr val="accent1">
                  <a:lumMod val="60000"/>
                </a:schemeClr>
              </a:solidFill>
              <a:ln w="9525">
                <a:solidFill>
                  <a:schemeClr val="accent1">
                    <a:lumMod val="60000"/>
                  </a:schemeClr>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'DIR1'!$BO$115:$BO$138</c15:sqref>
                  </c15:fullRef>
                </c:ext>
              </c:extLst>
              <c:f>('DIR1'!$BO$115,'DIR1'!$BO$117,'DIR1'!$BO$119,'DIR1'!$BO$121,'DIR1'!$BO$123,'DIR1'!$BO$125,'DIR1'!$BO$127,'DIR1'!$BO$129,'DIR1'!$BO$131,'DIR1'!$BO$133,'DIR1'!$BO$135,'DIR1'!$BO$137)</c:f>
              <c:numCache>
                <c:formatCode>0.0</c:formatCode>
                <c:ptCount val="12"/>
                <c:pt idx="0">
                  <c:v>#N/A</c:v>
                </c:pt>
                <c:pt idx="1">
                  <c:v>#N/A</c:v>
                </c:pt>
                <c:pt idx="2">
                  <c:v>#N/A</c:v>
                </c:pt>
                <c:pt idx="3">
                  <c:v>42</c:v>
                </c:pt>
                <c:pt idx="4">
                  <c:v>40.548648648648651</c:v>
                </c:pt>
                <c:pt idx="5">
                  <c:v>33.672972972972978</c:v>
                </c:pt>
                <c:pt idx="6">
                  <c:v>41.481249999999996</c:v>
                </c:pt>
                <c:pt idx="7">
                  <c:v>42.176595744680846</c:v>
                </c:pt>
                <c:pt idx="8">
                  <c:v>42.660317460317465</c:v>
                </c:pt>
                <c:pt idx="9">
                  <c:v>44.55535714285714</c:v>
                </c:pt>
                <c:pt idx="10">
                  <c:v>42.094117647058816</c:v>
                </c:pt>
                <c:pt idx="11">
                  <c:v>47.314285714285724</c:v>
                </c:pt>
              </c:numCache>
            </c:numRef>
          </c:val>
          <c:smooth val="0"/>
        </c:ser>
        <c:ser>
          <c:idx val="7"/>
          <c:order val="7"/>
          <c:tx>
            <c:v>Speed limit</c:v>
          </c:tx>
          <c:spPr>
            <a:ln w="25400" cap="rnd">
              <a:solidFill>
                <a:srgbClr val="C00000"/>
              </a:solidFill>
              <a:prstDash val="sysDash"/>
              <a:round/>
            </a:ln>
            <a:effectLst/>
          </c:spPr>
          <c:marker>
            <c:symbol val="none"/>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'DIR1'!$CB$115:$CB$138</c15:sqref>
                  </c15:fullRef>
                </c:ext>
              </c:extLst>
              <c:f>('DIR1'!$CB$115,'DIR1'!$CB$117,'DIR1'!$CB$119,'DIR1'!$CB$121,'DIR1'!$CB$123,'DIR1'!$CB$125,'DIR1'!$CB$127,'DIR1'!$CB$129,'DIR1'!$CB$131,'DIR1'!$CB$133,'DIR1'!$CB$135,'DIR1'!$CB$137)</c:f>
              <c:numCache>
                <c:formatCode>General</c:formatCode>
                <c:ptCount val="12"/>
                <c:pt idx="0">
                  <c:v>60</c:v>
                </c:pt>
                <c:pt idx="1">
                  <c:v>60</c:v>
                </c:pt>
                <c:pt idx="2">
                  <c:v>60</c:v>
                </c:pt>
                <c:pt idx="3">
                  <c:v>60</c:v>
                </c:pt>
                <c:pt idx="4">
                  <c:v>60</c:v>
                </c:pt>
                <c:pt idx="5">
                  <c:v>60</c:v>
                </c:pt>
                <c:pt idx="6">
                  <c:v>60</c:v>
                </c:pt>
                <c:pt idx="7">
                  <c:v>60</c:v>
                </c:pt>
                <c:pt idx="8">
                  <c:v>60</c:v>
                </c:pt>
                <c:pt idx="9">
                  <c:v>60</c:v>
                </c:pt>
                <c:pt idx="10">
                  <c:v>60</c:v>
                </c:pt>
                <c:pt idx="11">
                  <c:v>60</c:v>
                </c:pt>
              </c:numCache>
            </c:numRef>
          </c:val>
          <c:smooth val="0"/>
        </c:ser>
        <c:ser>
          <c:idx val="8"/>
          <c:order val="8"/>
          <c:tx>
            <c:v>85%ile</c:v>
          </c:tx>
          <c:spPr>
            <a:ln w="19050" cap="rnd">
              <a:solidFill>
                <a:schemeClr val="tx1"/>
              </a:solidFill>
              <a:prstDash val="sysDash"/>
              <a:round/>
            </a:ln>
            <a:effectLst/>
          </c:spPr>
          <c:marker>
            <c:symbol val="none"/>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'DIR1'!$CA$115:$CA$138</c15:sqref>
                  </c15:fullRef>
                </c:ext>
              </c:extLst>
              <c:f>('DIR1'!$CA$115,'DIR1'!$CA$117,'DIR1'!$CA$119,'DIR1'!$CA$121,'DIR1'!$CA$123,'DIR1'!$CA$125,'DIR1'!$CA$127,'DIR1'!$CA$129,'DIR1'!$CA$131,'DIR1'!$CA$133,'DIR1'!$CA$135,'DIR1'!$CA$137)</c:f>
              <c:numCache>
                <c:formatCode>0.0</c:formatCode>
                <c:ptCount val="12"/>
                <c:pt idx="0">
                  <c:v>#N/A</c:v>
                </c:pt>
                <c:pt idx="1">
                  <c:v>#N/A</c:v>
                </c:pt>
                <c:pt idx="2">
                  <c:v>#N/A</c:v>
                </c:pt>
                <c:pt idx="3">
                  <c:v>#N/A</c:v>
                </c:pt>
                <c:pt idx="4">
                  <c:v>49.730000000000004</c:v>
                </c:pt>
                <c:pt idx="5">
                  <c:v>43.75</c:v>
                </c:pt>
                <c:pt idx="6">
                  <c:v>47.697619047619057</c:v>
                </c:pt>
                <c:pt idx="7">
                  <c:v>46.586904761904762</c:v>
                </c:pt>
                <c:pt idx="8">
                  <c:v>49.341666666666661</c:v>
                </c:pt>
                <c:pt idx="9">
                  <c:v>51.57380952380953</c:v>
                </c:pt>
                <c:pt idx="10">
                  <c:v>54.9</c:v>
                </c:pt>
                <c:pt idx="11">
                  <c:v>#N/A</c:v>
                </c:pt>
              </c:numCache>
            </c:numRef>
          </c:val>
          <c:smooth val="0"/>
        </c:ser>
        <c:dLbls>
          <c:showLegendKey val="0"/>
          <c:showVal val="0"/>
          <c:showCatName val="0"/>
          <c:showSerName val="0"/>
          <c:showPercent val="0"/>
          <c:showBubbleSize val="0"/>
        </c:dLbls>
        <c:marker val="1"/>
        <c:smooth val="0"/>
        <c:axId val="-2026799936"/>
        <c:axId val="-2026804832"/>
      </c:lineChart>
      <c:catAx>
        <c:axId val="-20267999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24 hours</a:t>
                </a:r>
              </a:p>
            </c:rich>
          </c:tx>
          <c:layout>
            <c:manualLayout>
              <c:xMode val="edge"/>
              <c:yMode val="edge"/>
              <c:x val="0.14289814149120036"/>
              <c:y val="0.8499420245996945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6804832"/>
        <c:crosses val="autoZero"/>
        <c:auto val="1"/>
        <c:lblAlgn val="ctr"/>
        <c:lblOffset val="100"/>
        <c:noMultiLvlLbl val="0"/>
      </c:catAx>
      <c:valAx>
        <c:axId val="-2026804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r>
                  <a:rPr lang="en-GB">
                    <a:solidFill>
                      <a:srgbClr val="FF0000"/>
                    </a:solidFill>
                  </a:rPr>
                  <a:t>Speed</a:t>
                </a:r>
                <a:r>
                  <a:rPr lang="en-GB" baseline="0">
                    <a:solidFill>
                      <a:srgbClr val="FF0000"/>
                    </a:solidFill>
                  </a:rPr>
                  <a:t> (mph)</a:t>
                </a:r>
                <a:endParaRPr lang="en-GB">
                  <a:solidFill>
                    <a:srgbClr val="FF0000"/>
                  </a:solidFill>
                </a:endParaRPr>
              </a:p>
            </c:rich>
          </c:tx>
          <c:layout>
            <c:manualLayout>
              <c:xMode val="edge"/>
              <c:yMode val="edge"/>
              <c:x val="2.1889163702982588E-2"/>
              <c:y val="0.5049495537148355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en-US"/>
          </a:p>
        </c:txPr>
        <c:crossAx val="-202679993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63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'DIR2'!$BI$9</c:f>
              <c:strCache>
                <c:ptCount val="1"/>
                <c:pt idx="0">
                  <c:v>Tue 12 Jun</c:v>
                </c:pt>
              </c:strCache>
            </c:strRef>
          </c:tx>
          <c:spPr>
            <a:ln w="12700" cap="rnd">
              <a:solidFill>
                <a:schemeClr val="accent1"/>
              </a:solidFill>
              <a:round/>
            </a:ln>
            <a:effectLst/>
          </c:spPr>
          <c:marker>
            <c:symbol val="circle"/>
            <c:size val="3"/>
            <c:spPr>
              <a:solidFill>
                <a:schemeClr val="accent1"/>
              </a:solidFill>
              <a:ln w="9525">
                <a:solidFill>
                  <a:schemeClr val="accent1"/>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'DIR2'!$BI$115:$BI$138</c15:sqref>
                  </c15:fullRef>
                </c:ext>
              </c:extLst>
              <c:f>('DIR2'!$BI$115,'DIR2'!$BI$117,'DIR2'!$BI$119,'DIR2'!$BI$121,'DIR2'!$BI$123,'DIR2'!$BI$125,'DIR2'!$BI$127,'DIR2'!$BI$129,'DIR2'!$BI$131,'DIR2'!$BI$133,'DIR2'!$BI$135,'DIR2'!$BI$137)</c:f>
              <c:numCache>
                <c:formatCode>0.0</c:formatCode>
                <c:ptCount val="12"/>
                <c:pt idx="0">
                  <c:v>35.5</c:v>
                </c:pt>
                <c:pt idx="1">
                  <c:v>#N/A</c:v>
                </c:pt>
                <c:pt idx="2">
                  <c:v>#N/A</c:v>
                </c:pt>
                <c:pt idx="3">
                  <c:v>45.231999999999999</c:v>
                </c:pt>
                <c:pt idx="4">
                  <c:v>41.792222222222222</c:v>
                </c:pt>
                <c:pt idx="5">
                  <c:v>39.421621621621618</c:v>
                </c:pt>
                <c:pt idx="6">
                  <c:v>37.845454545454544</c:v>
                </c:pt>
                <c:pt idx="7">
                  <c:v>38.36578947368421</c:v>
                </c:pt>
                <c:pt idx="8">
                  <c:v>38.797297297297298</c:v>
                </c:pt>
                <c:pt idx="9">
                  <c:v>40.980000000000004</c:v>
                </c:pt>
                <c:pt idx="10">
                  <c:v>43.090476190476188</c:v>
                </c:pt>
                <c:pt idx="11">
                  <c:v>49.849999999999994</c:v>
                </c:pt>
              </c:numCache>
            </c:numRef>
          </c:val>
          <c:smooth val="0"/>
        </c:ser>
        <c:ser>
          <c:idx val="1"/>
          <c:order val="1"/>
          <c:tx>
            <c:strRef>
              <c:f>'DIR2'!$BJ$9</c:f>
              <c:strCache>
                <c:ptCount val="1"/>
                <c:pt idx="0">
                  <c:v>Wed 13 Jun</c:v>
                </c:pt>
              </c:strCache>
            </c:strRef>
          </c:tx>
          <c:spPr>
            <a:ln w="12700" cap="rnd">
              <a:solidFill>
                <a:schemeClr val="accent2"/>
              </a:solidFill>
              <a:round/>
            </a:ln>
            <a:effectLst/>
          </c:spPr>
          <c:marker>
            <c:symbol val="circle"/>
            <c:size val="3"/>
            <c:spPr>
              <a:solidFill>
                <a:schemeClr val="accent2"/>
              </a:solidFill>
              <a:ln w="9525">
                <a:solidFill>
                  <a:schemeClr val="accent2"/>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'DIR2'!$BJ$115:$BJ$138</c15:sqref>
                  </c15:fullRef>
                </c:ext>
              </c:extLst>
              <c:f>('DIR2'!$BJ$115,'DIR2'!$BJ$117,'DIR2'!$BJ$119,'DIR2'!$BJ$121,'DIR2'!$BJ$123,'DIR2'!$BJ$125,'DIR2'!$BJ$127,'DIR2'!$BJ$129,'DIR2'!$BJ$131,'DIR2'!$BJ$133,'DIR2'!$BJ$135,'DIR2'!$BJ$137)</c:f>
              <c:numCache>
                <c:formatCode>0.0</c:formatCode>
                <c:ptCount val="12"/>
                <c:pt idx="0">
                  <c:v>#N/A</c:v>
                </c:pt>
                <c:pt idx="1">
                  <c:v>#N/A</c:v>
                </c:pt>
                <c:pt idx="2">
                  <c:v>42</c:v>
                </c:pt>
                <c:pt idx="3">
                  <c:v>44.38484848484849</c:v>
                </c:pt>
                <c:pt idx="4">
                  <c:v>40.529473684210529</c:v>
                </c:pt>
                <c:pt idx="5">
                  <c:v>35.56666666666667</c:v>
                </c:pt>
                <c:pt idx="6">
                  <c:v>35.908333333333331</c:v>
                </c:pt>
                <c:pt idx="7">
                  <c:v>38.564705882352939</c:v>
                </c:pt>
                <c:pt idx="8">
                  <c:v>39.4</c:v>
                </c:pt>
                <c:pt idx="9">
                  <c:v>40.170454545454554</c:v>
                </c:pt>
                <c:pt idx="10">
                  <c:v>40.599999999999994</c:v>
                </c:pt>
                <c:pt idx="11">
                  <c:v>43.645454545454548</c:v>
                </c:pt>
              </c:numCache>
            </c:numRef>
          </c:val>
          <c:smooth val="0"/>
        </c:ser>
        <c:ser>
          <c:idx val="2"/>
          <c:order val="2"/>
          <c:tx>
            <c:strRef>
              <c:f>'DIR2'!$BK$9</c:f>
              <c:strCache>
                <c:ptCount val="1"/>
                <c:pt idx="0">
                  <c:v>Thu 14 Jun</c:v>
                </c:pt>
              </c:strCache>
            </c:strRef>
          </c:tx>
          <c:spPr>
            <a:ln w="12700" cap="rnd">
              <a:solidFill>
                <a:schemeClr val="accent3"/>
              </a:solidFill>
              <a:round/>
            </a:ln>
            <a:effectLst/>
          </c:spPr>
          <c:marker>
            <c:symbol val="circle"/>
            <c:size val="3"/>
            <c:spPr>
              <a:solidFill>
                <a:schemeClr val="accent3"/>
              </a:solidFill>
              <a:ln w="9525">
                <a:solidFill>
                  <a:schemeClr val="accent3"/>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'DIR2'!$BK$115:$BK$138</c15:sqref>
                  </c15:fullRef>
                </c:ext>
              </c:extLst>
              <c:f>('DIR2'!$BK$115,'DIR2'!$BK$117,'DIR2'!$BK$119,'DIR2'!$BK$121,'DIR2'!$BK$123,'DIR2'!$BK$125,'DIR2'!$BK$127,'DIR2'!$BK$129,'DIR2'!$BK$131,'DIR2'!$BK$133,'DIR2'!$BK$135,'DIR2'!$BK$137)</c:f>
              <c:numCache>
                <c:formatCode>0.0</c:formatCode>
                <c:ptCount val="12"/>
                <c:pt idx="0">
                  <c:v>#N/A</c:v>
                </c:pt>
                <c:pt idx="1">
                  <c:v>37.4</c:v>
                </c:pt>
                <c:pt idx="2">
                  <c:v>42.6</c:v>
                </c:pt>
                <c:pt idx="3">
                  <c:v>42.666666666666664</c:v>
                </c:pt>
                <c:pt idx="4">
                  <c:v>40.930864197530859</c:v>
                </c:pt>
                <c:pt idx="5">
                  <c:v>36.182499999999997</c:v>
                </c:pt>
                <c:pt idx="6">
                  <c:v>39.873684210526314</c:v>
                </c:pt>
                <c:pt idx="7">
                  <c:v>37.021212121212116</c:v>
                </c:pt>
                <c:pt idx="8">
                  <c:v>37.945454545454552</c:v>
                </c:pt>
                <c:pt idx="9">
                  <c:v>44.407692307692301</c:v>
                </c:pt>
                <c:pt idx="10">
                  <c:v>40.927272727272729</c:v>
                </c:pt>
                <c:pt idx="11">
                  <c:v>40.872727272727268</c:v>
                </c:pt>
              </c:numCache>
            </c:numRef>
          </c:val>
          <c:smooth val="0"/>
        </c:ser>
        <c:ser>
          <c:idx val="3"/>
          <c:order val="3"/>
          <c:tx>
            <c:strRef>
              <c:f>'DIR2'!$BL$9</c:f>
              <c:strCache>
                <c:ptCount val="1"/>
                <c:pt idx="0">
                  <c:v>Fri 15 Jun</c:v>
                </c:pt>
              </c:strCache>
            </c:strRef>
          </c:tx>
          <c:spPr>
            <a:ln w="12700" cap="rnd">
              <a:solidFill>
                <a:schemeClr val="accent4"/>
              </a:solidFill>
              <a:round/>
            </a:ln>
            <a:effectLst/>
          </c:spPr>
          <c:marker>
            <c:symbol val="circle"/>
            <c:size val="3"/>
            <c:spPr>
              <a:solidFill>
                <a:schemeClr val="accent4"/>
              </a:solidFill>
              <a:ln w="9525">
                <a:solidFill>
                  <a:schemeClr val="accent4"/>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'DIR2'!$BL$115:$BL$138</c15:sqref>
                  </c15:fullRef>
                </c:ext>
              </c:extLst>
              <c:f>('DIR2'!$BL$115,'DIR2'!$BL$117,'DIR2'!$BL$119,'DIR2'!$BL$121,'DIR2'!$BL$123,'DIR2'!$BL$125,'DIR2'!$BL$127,'DIR2'!$BL$129,'DIR2'!$BL$131,'DIR2'!$BL$133,'DIR2'!$BL$135,'DIR2'!$BL$137)</c:f>
              <c:numCache>
                <c:formatCode>0.0</c:formatCode>
                <c:ptCount val="12"/>
                <c:pt idx="0">
                  <c:v>44.433333333333337</c:v>
                </c:pt>
                <c:pt idx="1">
                  <c:v>#N/A</c:v>
                </c:pt>
                <c:pt idx="2">
                  <c:v>49.2</c:v>
                </c:pt>
                <c:pt idx="3">
                  <c:v>43.342857142857142</c:v>
                </c:pt>
                <c:pt idx="4">
                  <c:v>40.031372549019608</c:v>
                </c:pt>
                <c:pt idx="5">
                  <c:v>40.841666666666669</c:v>
                </c:pt>
                <c:pt idx="6">
                  <c:v>39.403846153846153</c:v>
                </c:pt>
                <c:pt idx="7">
                  <c:v>38.484482758620693</c:v>
                </c:pt>
                <c:pt idx="8">
                  <c:v>41.958181818181814</c:v>
                </c:pt>
                <c:pt idx="9">
                  <c:v>39.426190476190477</c:v>
                </c:pt>
                <c:pt idx="10">
                  <c:v>43.004347826086949</c:v>
                </c:pt>
                <c:pt idx="11">
                  <c:v>41.480000000000004</c:v>
                </c:pt>
              </c:numCache>
            </c:numRef>
          </c:val>
          <c:smooth val="0"/>
        </c:ser>
        <c:ser>
          <c:idx val="4"/>
          <c:order val="4"/>
          <c:tx>
            <c:strRef>
              <c:f>'DIR2'!$BM$9</c:f>
              <c:strCache>
                <c:ptCount val="1"/>
                <c:pt idx="0">
                  <c:v>Sat 16 Jun</c:v>
                </c:pt>
              </c:strCache>
            </c:strRef>
          </c:tx>
          <c:spPr>
            <a:ln w="12700" cap="rnd">
              <a:solidFill>
                <a:schemeClr val="accent5"/>
              </a:solidFill>
              <a:round/>
            </a:ln>
            <a:effectLst/>
          </c:spPr>
          <c:marker>
            <c:symbol val="circle"/>
            <c:size val="3"/>
            <c:spPr>
              <a:solidFill>
                <a:schemeClr val="accent5"/>
              </a:solidFill>
              <a:ln w="9525">
                <a:solidFill>
                  <a:schemeClr val="accent5"/>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'DIR2'!$BM$115:$BM$138</c15:sqref>
                  </c15:fullRef>
                </c:ext>
              </c:extLst>
              <c:f>('DIR2'!$BM$115,'DIR2'!$BM$117,'DIR2'!$BM$119,'DIR2'!$BM$121,'DIR2'!$BM$123,'DIR2'!$BM$125,'DIR2'!$BM$127,'DIR2'!$BM$129,'DIR2'!$BM$131,'DIR2'!$BM$133,'DIR2'!$BM$135,'DIR2'!$BM$137)</c:f>
              <c:numCache>
                <c:formatCode>0.0</c:formatCode>
                <c:ptCount val="12"/>
                <c:pt idx="0">
                  <c:v>32</c:v>
                </c:pt>
                <c:pt idx="1">
                  <c:v>48.2</c:v>
                </c:pt>
                <c:pt idx="2">
                  <c:v>37.200000000000003</c:v>
                </c:pt>
                <c:pt idx="3">
                  <c:v>43.919999999999995</c:v>
                </c:pt>
                <c:pt idx="4">
                  <c:v>42.260655737704923</c:v>
                </c:pt>
                <c:pt idx="5">
                  <c:v>35.605555555555547</c:v>
                </c:pt>
                <c:pt idx="6">
                  <c:v>32.601818181818182</c:v>
                </c:pt>
                <c:pt idx="7">
                  <c:v>39.033333333333339</c:v>
                </c:pt>
                <c:pt idx="8">
                  <c:v>38.881395348837209</c:v>
                </c:pt>
                <c:pt idx="9">
                  <c:v>38.278571428571425</c:v>
                </c:pt>
                <c:pt idx="10">
                  <c:v>40.785714285714285</c:v>
                </c:pt>
                <c:pt idx="11">
                  <c:v>35.019999999999996</c:v>
                </c:pt>
              </c:numCache>
            </c:numRef>
          </c:val>
          <c:smooth val="0"/>
        </c:ser>
        <c:ser>
          <c:idx val="5"/>
          <c:order val="5"/>
          <c:tx>
            <c:strRef>
              <c:f>'DIR2'!$BN$9</c:f>
              <c:strCache>
                <c:ptCount val="1"/>
                <c:pt idx="0">
                  <c:v>Sun 17 Jun</c:v>
                </c:pt>
              </c:strCache>
            </c:strRef>
          </c:tx>
          <c:spPr>
            <a:ln w="12700" cap="rnd">
              <a:solidFill>
                <a:schemeClr val="accent6"/>
              </a:solidFill>
              <a:round/>
            </a:ln>
            <a:effectLst/>
          </c:spPr>
          <c:marker>
            <c:symbol val="circle"/>
            <c:size val="3"/>
            <c:spPr>
              <a:solidFill>
                <a:schemeClr val="accent6"/>
              </a:solidFill>
              <a:ln w="9525">
                <a:solidFill>
                  <a:schemeClr val="accent6"/>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'DIR2'!$BN$115:$BN$138</c15:sqref>
                  </c15:fullRef>
                </c:ext>
              </c:extLst>
              <c:f>('DIR2'!$BN$115,'DIR2'!$BN$117,'DIR2'!$BN$119,'DIR2'!$BN$121,'DIR2'!$BN$123,'DIR2'!$BN$125,'DIR2'!$BN$127,'DIR2'!$BN$129,'DIR2'!$BN$131,'DIR2'!$BN$133,'DIR2'!$BN$135,'DIR2'!$BN$137)</c:f>
              <c:numCache>
                <c:formatCode>0.0</c:formatCode>
                <c:ptCount val="12"/>
                <c:pt idx="0">
                  <c:v>46.599999999999994</c:v>
                </c:pt>
                <c:pt idx="1">
                  <c:v>22.033333333333335</c:v>
                </c:pt>
                <c:pt idx="2">
                  <c:v>46</c:v>
                </c:pt>
                <c:pt idx="3">
                  <c:v>43.25</c:v>
                </c:pt>
                <c:pt idx="4">
                  <c:v>36.9</c:v>
                </c:pt>
                <c:pt idx="5">
                  <c:v>38.229268292682931</c:v>
                </c:pt>
                <c:pt idx="6">
                  <c:v>36.995238095238101</c:v>
                </c:pt>
                <c:pt idx="7">
                  <c:v>40.973529411764702</c:v>
                </c:pt>
                <c:pt idx="8">
                  <c:v>39.536842105263155</c:v>
                </c:pt>
                <c:pt idx="9">
                  <c:v>37.717142857142861</c:v>
                </c:pt>
                <c:pt idx="10">
                  <c:v>39.555555555555557</c:v>
                </c:pt>
                <c:pt idx="11">
                  <c:v>43.328571428571429</c:v>
                </c:pt>
              </c:numCache>
            </c:numRef>
          </c:val>
          <c:smooth val="0"/>
        </c:ser>
        <c:ser>
          <c:idx val="6"/>
          <c:order val="6"/>
          <c:tx>
            <c:strRef>
              <c:f>'DIR2'!$BO$9</c:f>
              <c:strCache>
                <c:ptCount val="1"/>
                <c:pt idx="0">
                  <c:v>Mon 18 Jun</c:v>
                </c:pt>
              </c:strCache>
            </c:strRef>
          </c:tx>
          <c:spPr>
            <a:ln w="12700" cap="rnd">
              <a:solidFill>
                <a:schemeClr val="accent1">
                  <a:lumMod val="60000"/>
                </a:schemeClr>
              </a:solidFill>
              <a:round/>
            </a:ln>
            <a:effectLst/>
          </c:spPr>
          <c:marker>
            <c:symbol val="circle"/>
            <c:size val="3"/>
            <c:spPr>
              <a:solidFill>
                <a:schemeClr val="accent1">
                  <a:lumMod val="60000"/>
                </a:schemeClr>
              </a:solidFill>
              <a:ln w="9525">
                <a:solidFill>
                  <a:schemeClr val="accent1">
                    <a:lumMod val="60000"/>
                  </a:schemeClr>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'DIR2'!$BO$115:$BO$138</c15:sqref>
                  </c15:fullRef>
                </c:ext>
              </c:extLst>
              <c:f>('DIR2'!$BO$115,'DIR2'!$BO$117,'DIR2'!$BO$119,'DIR2'!$BO$121,'DIR2'!$BO$123,'DIR2'!$BO$125,'DIR2'!$BO$127,'DIR2'!$BO$129,'DIR2'!$BO$131,'DIR2'!$BO$133,'DIR2'!$BO$135,'DIR2'!$BO$137)</c:f>
              <c:numCache>
                <c:formatCode>0.0</c:formatCode>
                <c:ptCount val="12"/>
                <c:pt idx="0">
                  <c:v>#N/A</c:v>
                </c:pt>
                <c:pt idx="1">
                  <c:v>#N/A</c:v>
                </c:pt>
                <c:pt idx="2">
                  <c:v>49.2</c:v>
                </c:pt>
                <c:pt idx="3">
                  <c:v>44.066666666666663</c:v>
                </c:pt>
                <c:pt idx="4">
                  <c:v>41.264835164835162</c:v>
                </c:pt>
                <c:pt idx="5">
                  <c:v>37.132500000000007</c:v>
                </c:pt>
                <c:pt idx="6">
                  <c:v>39.006451612903227</c:v>
                </c:pt>
                <c:pt idx="7">
                  <c:v>38.658974358974362</c:v>
                </c:pt>
                <c:pt idx="8">
                  <c:v>38.84791666666667</c:v>
                </c:pt>
                <c:pt idx="9">
                  <c:v>40.741379310344826</c:v>
                </c:pt>
                <c:pt idx="10">
                  <c:v>40.873333333333335</c:v>
                </c:pt>
                <c:pt idx="11">
                  <c:v>37.355555555555554</c:v>
                </c:pt>
              </c:numCache>
            </c:numRef>
          </c:val>
          <c:smooth val="0"/>
        </c:ser>
        <c:ser>
          <c:idx val="7"/>
          <c:order val="7"/>
          <c:tx>
            <c:v>Speed limit</c:v>
          </c:tx>
          <c:spPr>
            <a:ln w="25400" cap="rnd">
              <a:solidFill>
                <a:srgbClr val="C00000"/>
              </a:solidFill>
              <a:prstDash val="sysDash"/>
              <a:round/>
            </a:ln>
            <a:effectLst/>
          </c:spPr>
          <c:marker>
            <c:symbol val="none"/>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'DIR2'!$CB$115:$CB$138</c15:sqref>
                  </c15:fullRef>
                </c:ext>
              </c:extLst>
              <c:f>('DIR2'!$CB$115,'DIR2'!$CB$117,'DIR2'!$CB$119,'DIR2'!$CB$121,'DIR2'!$CB$123,'DIR2'!$CB$125,'DIR2'!$CB$127,'DIR2'!$CB$129,'DIR2'!$CB$131,'DIR2'!$CB$133,'DIR2'!$CB$135,'DIR2'!$CB$137)</c:f>
              <c:numCache>
                <c:formatCode>General</c:formatCode>
                <c:ptCount val="12"/>
                <c:pt idx="0">
                  <c:v>60</c:v>
                </c:pt>
                <c:pt idx="1">
                  <c:v>60</c:v>
                </c:pt>
                <c:pt idx="2">
                  <c:v>60</c:v>
                </c:pt>
                <c:pt idx="3">
                  <c:v>60</c:v>
                </c:pt>
                <c:pt idx="4">
                  <c:v>60</c:v>
                </c:pt>
                <c:pt idx="5">
                  <c:v>60</c:v>
                </c:pt>
                <c:pt idx="6">
                  <c:v>60</c:v>
                </c:pt>
                <c:pt idx="7">
                  <c:v>60</c:v>
                </c:pt>
                <c:pt idx="8">
                  <c:v>60</c:v>
                </c:pt>
                <c:pt idx="9">
                  <c:v>60</c:v>
                </c:pt>
                <c:pt idx="10">
                  <c:v>60</c:v>
                </c:pt>
                <c:pt idx="11">
                  <c:v>60</c:v>
                </c:pt>
              </c:numCache>
            </c:numRef>
          </c:val>
          <c:smooth val="0"/>
        </c:ser>
        <c:ser>
          <c:idx val="8"/>
          <c:order val="8"/>
          <c:tx>
            <c:v>85%ile</c:v>
          </c:tx>
          <c:spPr>
            <a:ln w="19050" cap="rnd">
              <a:solidFill>
                <a:schemeClr val="tx1"/>
              </a:solidFill>
              <a:prstDash val="sysDash"/>
              <a:round/>
            </a:ln>
            <a:effectLst/>
          </c:spPr>
          <c:marker>
            <c:symbol val="none"/>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'DIR2'!$CA$115:$CA$138</c15:sqref>
                  </c15:fullRef>
                </c:ext>
              </c:extLst>
              <c:f>('DIR2'!$CA$115,'DIR2'!$CA$117,'DIR2'!$CA$119,'DIR2'!$CA$121,'DIR2'!$CA$123,'DIR2'!$CA$125,'DIR2'!$CA$127,'DIR2'!$CA$129,'DIR2'!$CA$131,'DIR2'!$CA$133,'DIR2'!$CA$135,'DIR2'!$CA$137)</c:f>
              <c:numCache>
                <c:formatCode>0.0</c:formatCode>
                <c:ptCount val="12"/>
                <c:pt idx="0">
                  <c:v>#N/A</c:v>
                </c:pt>
                <c:pt idx="1">
                  <c:v>#N/A</c:v>
                </c:pt>
                <c:pt idx="2">
                  <c:v>#N/A</c:v>
                </c:pt>
                <c:pt idx="3">
                  <c:v>50.1</c:v>
                </c:pt>
                <c:pt idx="4">
                  <c:v>47.381944444444457</c:v>
                </c:pt>
                <c:pt idx="5">
                  <c:v>47.414285714285711</c:v>
                </c:pt>
                <c:pt idx="6">
                  <c:v>42.63000000000001</c:v>
                </c:pt>
                <c:pt idx="7">
                  <c:v>47.862499999999997</c:v>
                </c:pt>
                <c:pt idx="8">
                  <c:v>45.633333333333333</c:v>
                </c:pt>
                <c:pt idx="9">
                  <c:v>48.312499999999993</c:v>
                </c:pt>
                <c:pt idx="10">
                  <c:v>#N/A</c:v>
                </c:pt>
                <c:pt idx="11">
                  <c:v>#N/A</c:v>
                </c:pt>
              </c:numCache>
            </c:numRef>
          </c:val>
          <c:smooth val="0"/>
        </c:ser>
        <c:dLbls>
          <c:showLegendKey val="0"/>
          <c:showVal val="0"/>
          <c:showCatName val="0"/>
          <c:showSerName val="0"/>
          <c:showPercent val="0"/>
          <c:showBubbleSize val="0"/>
        </c:dLbls>
        <c:marker val="1"/>
        <c:smooth val="0"/>
        <c:axId val="-2026803744"/>
        <c:axId val="-2026797216"/>
      </c:lineChart>
      <c:catAx>
        <c:axId val="-20268037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24</a:t>
                </a:r>
                <a:r>
                  <a:rPr lang="en-GB" baseline="0"/>
                  <a:t> hours</a:t>
                </a:r>
                <a:endParaRPr lang="en-GB"/>
              </a:p>
            </c:rich>
          </c:tx>
          <c:layout>
            <c:manualLayout>
              <c:xMode val="edge"/>
              <c:yMode val="edge"/>
              <c:x val="0.14318891474248388"/>
              <c:y val="0.8502305673329295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6797216"/>
        <c:crosses val="autoZero"/>
        <c:auto val="1"/>
        <c:lblAlgn val="ctr"/>
        <c:lblOffset val="100"/>
        <c:noMultiLvlLbl val="0"/>
      </c:catAx>
      <c:valAx>
        <c:axId val="-2026797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r>
                  <a:rPr lang="en-GB">
                    <a:solidFill>
                      <a:srgbClr val="FF0000"/>
                    </a:solidFill>
                  </a:rPr>
                  <a:t>Speed (mph)</a:t>
                </a:r>
              </a:p>
            </c:rich>
          </c:tx>
          <c:layout>
            <c:manualLayout>
              <c:xMode val="edge"/>
              <c:yMode val="edge"/>
              <c:x val="2.4999048396701928E-2"/>
              <c:y val="0.5049400363416112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en-US"/>
          </a:p>
        </c:txPr>
        <c:crossAx val="-202680374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63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98656612096129"/>
          <c:y val="5.6156176073931599E-2"/>
          <c:w val="0.79556654533615478"/>
          <c:h val="0.77331636990720376"/>
        </c:manualLayout>
      </c:layout>
      <c:scatterChart>
        <c:scatterStyle val="lineMarker"/>
        <c:varyColors val="0"/>
        <c:ser>
          <c:idx val="0"/>
          <c:order val="0"/>
          <c:tx>
            <c:v>base</c:v>
          </c:tx>
          <c:spPr>
            <a:ln w="25400" cap="rnd">
              <a:noFill/>
              <a:round/>
            </a:ln>
            <a:effectLst/>
          </c:spPr>
          <c:marker>
            <c:symbol val="circle"/>
            <c:size val="5"/>
            <c:spPr>
              <a:noFill/>
              <a:ln w="9525">
                <a:noFill/>
              </a:ln>
              <a:effectLst/>
            </c:spPr>
          </c:marker>
          <c:xVal>
            <c:numRef>
              <c:f>config!$BU$5:$BU$11</c:f>
              <c:numCache>
                <c:formatCode>General</c:formatCode>
                <c:ptCount val="7"/>
                <c:pt idx="0">
                  <c:v>0</c:v>
                </c:pt>
                <c:pt idx="1">
                  <c:v>10</c:v>
                </c:pt>
                <c:pt idx="2">
                  <c:v>20</c:v>
                </c:pt>
                <c:pt idx="3">
                  <c:v>30</c:v>
                </c:pt>
                <c:pt idx="4">
                  <c:v>40</c:v>
                </c:pt>
                <c:pt idx="5">
                  <c:v>50</c:v>
                </c:pt>
                <c:pt idx="6">
                  <c:v>60</c:v>
                </c:pt>
              </c:numCache>
            </c:numRef>
          </c:xVal>
          <c:yVal>
            <c:numRef>
              <c:f>config!$BV$5:$BV$10</c:f>
              <c:numCache>
                <c:formatCode>General</c:formatCode>
                <c:ptCount val="6"/>
                <c:pt idx="0">
                  <c:v>0</c:v>
                </c:pt>
                <c:pt idx="1">
                  <c:v>2000</c:v>
                </c:pt>
                <c:pt idx="2">
                  <c:v>4000</c:v>
                </c:pt>
                <c:pt idx="3">
                  <c:v>6000</c:v>
                </c:pt>
                <c:pt idx="4">
                  <c:v>8000</c:v>
                </c:pt>
                <c:pt idx="5">
                  <c:v>10000</c:v>
                </c:pt>
              </c:numCache>
            </c:numRef>
          </c:yVal>
          <c:smooth val="0"/>
        </c:ser>
        <c:ser>
          <c:idx val="1"/>
          <c:order val="1"/>
          <c:spPr>
            <a:ln w="25400" cap="rnd">
              <a:noFill/>
              <a:round/>
            </a:ln>
            <a:effectLst/>
          </c:spPr>
          <c:marker>
            <c:symbol val="circle"/>
            <c:size val="9"/>
            <c:spPr>
              <a:solidFill>
                <a:schemeClr val="accent6">
                  <a:alpha val="50000"/>
                </a:schemeClr>
              </a:solidFill>
              <a:ln w="50800">
                <a:noFill/>
              </a:ln>
              <a:effectLst/>
            </c:spPr>
          </c:marker>
          <c:xVal>
            <c:numRef>
              <c:f>config!$BU$16:$BU$22</c:f>
              <c:numCache>
                <c:formatCode>0.0</c:formatCode>
                <c:ptCount val="7"/>
                <c:pt idx="0">
                  <c:v>48.666997354497362</c:v>
                </c:pt>
                <c:pt idx="1">
                  <c:v>47.913669950738921</c:v>
                </c:pt>
                <c:pt idx="2">
                  <c:v>48.234615384615381</c:v>
                </c:pt>
                <c:pt idx="3">
                  <c:v>48.903245436105479</c:v>
                </c:pt>
                <c:pt idx="4">
                  <c:v>46.457467532467533</c:v>
                </c:pt>
                <c:pt idx="5">
                  <c:v>46.44714285714285</c:v>
                </c:pt>
                <c:pt idx="6">
                  <c:v>48.979166666666664</c:v>
                </c:pt>
              </c:numCache>
            </c:numRef>
          </c:xVal>
          <c:yVal>
            <c:numRef>
              <c:f>config!$BV$16:$BV$22</c:f>
              <c:numCache>
                <c:formatCode>General</c:formatCode>
                <c:ptCount val="7"/>
                <c:pt idx="0">
                  <c:v>1334</c:v>
                </c:pt>
                <c:pt idx="1">
                  <c:v>1493</c:v>
                </c:pt>
                <c:pt idx="2">
                  <c:v>1375</c:v>
                </c:pt>
                <c:pt idx="3">
                  <c:v>1526</c:v>
                </c:pt>
                <c:pt idx="4">
                  <c:v>1112</c:v>
                </c:pt>
                <c:pt idx="5">
                  <c:v>1076</c:v>
                </c:pt>
                <c:pt idx="6">
                  <c:v>1359</c:v>
                </c:pt>
              </c:numCache>
            </c:numRef>
          </c:yVal>
          <c:smooth val="0"/>
        </c:ser>
        <c:dLbls>
          <c:showLegendKey val="0"/>
          <c:showVal val="0"/>
          <c:showCatName val="0"/>
          <c:showSerName val="0"/>
          <c:showPercent val="0"/>
          <c:showBubbleSize val="0"/>
        </c:dLbls>
        <c:axId val="-2026795584"/>
        <c:axId val="-2026809728"/>
      </c:scatterChart>
      <c:valAx>
        <c:axId val="-20267955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0" i="0" baseline="0">
                    <a:solidFill>
                      <a:srgbClr val="002060"/>
                    </a:solidFill>
                  </a:rPr>
                  <a:t>85%ILE SPEED</a:t>
                </a:r>
              </a:p>
            </c:rich>
          </c:tx>
          <c:layout>
            <c:manualLayout>
              <c:xMode val="edge"/>
              <c:yMode val="edge"/>
              <c:x val="0.15859753793938181"/>
              <c:y val="0.9121664345249939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rgbClr val="002060"/>
                </a:solidFill>
                <a:latin typeface="+mn-lt"/>
                <a:ea typeface="+mn-ea"/>
                <a:cs typeface="+mn-cs"/>
              </a:defRPr>
            </a:pPr>
            <a:endParaRPr lang="en-US"/>
          </a:p>
        </c:txPr>
        <c:crossAx val="-2026809728"/>
        <c:crosses val="autoZero"/>
        <c:crossBetween val="midCat"/>
      </c:valAx>
      <c:valAx>
        <c:axId val="-2026809728"/>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002060"/>
                    </a:solidFill>
                    <a:latin typeface="+mn-lt"/>
                    <a:ea typeface="+mn-ea"/>
                    <a:cs typeface="+mn-cs"/>
                  </a:defRPr>
                </a:pPr>
                <a:r>
                  <a:rPr lang="en-GB" baseline="0">
                    <a:solidFill>
                      <a:srgbClr val="002060"/>
                    </a:solidFill>
                  </a:rPr>
                  <a:t>VEHICLE VOLUME</a:t>
                </a:r>
              </a:p>
            </c:rich>
          </c:tx>
          <c:layout>
            <c:manualLayout>
              <c:xMode val="edge"/>
              <c:yMode val="edge"/>
              <c:x val="6.2271064965146589E-3"/>
              <c:y val="0.452003352487533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002060"/>
                  </a:solidFill>
                  <a:latin typeface="+mn-lt"/>
                  <a:ea typeface="+mn-ea"/>
                  <a:cs typeface="+mn-cs"/>
                </a:defRPr>
              </a:pPr>
              <a:endParaRPr lang="en-US"/>
            </a:p>
          </c:txPr>
        </c:title>
        <c:numFmt formatCode="0,00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rgbClr val="002060"/>
                </a:solidFill>
                <a:latin typeface="+mn-lt"/>
                <a:ea typeface="+mn-ea"/>
                <a:cs typeface="+mn-cs"/>
              </a:defRPr>
            </a:pPr>
            <a:endParaRPr lang="en-US"/>
          </a:p>
        </c:txPr>
        <c:crossAx val="-2026795584"/>
        <c:crosses val="autoZero"/>
        <c:crossBetween val="midCat"/>
      </c:valAx>
      <c:spPr>
        <a:blipFill dpi="0" rotWithShape="1">
          <a:blip xmlns:r="http://schemas.openxmlformats.org/officeDocument/2006/relationships" r:embed="rId3">
            <a:alphaModFix amt="67000"/>
          </a:blip>
          <a:srcRect/>
          <a:stretch>
            <a:fillRect/>
          </a:stretch>
        </a:blipFill>
        <a:ln w="9525">
          <a:solidFill>
            <a:schemeClr val="bg1">
              <a:lumMod val="50000"/>
            </a:schemeClr>
          </a:solidFill>
        </a:ln>
        <a:effectLst/>
      </c:spPr>
    </c:plotArea>
    <c:plotVisOnly val="0"/>
    <c:dispBlanksAs val="gap"/>
    <c:showDLblsOverMax val="0"/>
  </c:chart>
  <c:spPr>
    <a:noFill/>
    <a:ln w="9525" cap="flat" cmpd="sng" algn="ctr">
      <a:solidFill>
        <a:schemeClr val="tx1">
          <a:lumMod val="50000"/>
          <a:lumOff val="50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88518586339497"/>
          <c:y val="6.1111111111111109E-2"/>
          <c:w val="0.84700628700482206"/>
          <c:h val="0.69181933508311466"/>
        </c:manualLayout>
      </c:layout>
      <c:lineChart>
        <c:grouping val="standard"/>
        <c:varyColors val="0"/>
        <c:ser>
          <c:idx val="0"/>
          <c:order val="0"/>
          <c:tx>
            <c:strRef>
              <c:f>'DIR1'!$D$6:$M$6</c:f>
              <c:strCache>
                <c:ptCount val="1"/>
                <c:pt idx="0">
                  <c:v>EASTBOUND →</c:v>
                </c:pt>
              </c:strCache>
            </c:strRef>
          </c:tx>
          <c:spPr>
            <a:ln w="28575" cap="rnd">
              <a:solidFill>
                <a:schemeClr val="accent1">
                  <a:alpha val="67000"/>
                </a:schemeClr>
              </a:solidFill>
              <a:round/>
            </a:ln>
            <a:effectLst/>
          </c:spPr>
          <c:marker>
            <c:symbol val="circle"/>
            <c:size val="9"/>
            <c:spPr>
              <a:solidFill>
                <a:schemeClr val="accent1">
                  <a:alpha val="67000"/>
                </a:schemeClr>
              </a:solidFill>
              <a:ln w="50800">
                <a:noFill/>
              </a:ln>
              <a:effectLst/>
            </c:spPr>
          </c:marker>
          <c:cat>
            <c:numRef>
              <c:f>config!$AD$5:$AD$11</c:f>
              <c:numCache>
                <c:formatCode>ddd\ dd\ mmm</c:formatCode>
                <c:ptCount val="7"/>
                <c:pt idx="0">
                  <c:v>43263</c:v>
                </c:pt>
                <c:pt idx="1">
                  <c:v>43264</c:v>
                </c:pt>
                <c:pt idx="2">
                  <c:v>43265</c:v>
                </c:pt>
                <c:pt idx="3">
                  <c:v>43266</c:v>
                </c:pt>
                <c:pt idx="4">
                  <c:v>43267</c:v>
                </c:pt>
                <c:pt idx="5">
                  <c:v>43268</c:v>
                </c:pt>
                <c:pt idx="6">
                  <c:v>43269</c:v>
                </c:pt>
              </c:numCache>
            </c:numRef>
          </c:cat>
          <c:val>
            <c:numRef>
              <c:f>config!$AG$5:$AG$11</c:f>
              <c:numCache>
                <c:formatCode>General</c:formatCode>
                <c:ptCount val="7"/>
                <c:pt idx="0">
                  <c:v>688</c:v>
                </c:pt>
                <c:pt idx="1">
                  <c:v>748</c:v>
                </c:pt>
                <c:pt idx="2">
                  <c:v>692</c:v>
                </c:pt>
                <c:pt idx="3">
                  <c:v>779</c:v>
                </c:pt>
                <c:pt idx="4">
                  <c:v>589</c:v>
                </c:pt>
                <c:pt idx="5">
                  <c:v>562</c:v>
                </c:pt>
                <c:pt idx="6">
                  <c:v>696</c:v>
                </c:pt>
              </c:numCache>
            </c:numRef>
          </c:val>
          <c:smooth val="0"/>
        </c:ser>
        <c:ser>
          <c:idx val="1"/>
          <c:order val="1"/>
          <c:tx>
            <c:strRef>
              <c:f>'DIR2'!$D$6:$M$6</c:f>
              <c:strCache>
                <c:ptCount val="1"/>
                <c:pt idx="0">
                  <c:v>WESTBOUND ←</c:v>
                </c:pt>
              </c:strCache>
            </c:strRef>
          </c:tx>
          <c:spPr>
            <a:ln w="28575" cap="rnd">
              <a:solidFill>
                <a:schemeClr val="accent2">
                  <a:alpha val="67000"/>
                </a:schemeClr>
              </a:solidFill>
              <a:round/>
            </a:ln>
            <a:effectLst/>
          </c:spPr>
          <c:marker>
            <c:symbol val="circle"/>
            <c:size val="9"/>
            <c:spPr>
              <a:solidFill>
                <a:schemeClr val="accent2">
                  <a:alpha val="67000"/>
                </a:schemeClr>
              </a:solidFill>
              <a:ln w="50800">
                <a:noFill/>
              </a:ln>
              <a:effectLst/>
            </c:spPr>
          </c:marker>
          <c:cat>
            <c:numRef>
              <c:f>config!$AD$5:$AD$11</c:f>
              <c:numCache>
                <c:formatCode>ddd\ dd\ mmm</c:formatCode>
                <c:ptCount val="7"/>
                <c:pt idx="0">
                  <c:v>43263</c:v>
                </c:pt>
                <c:pt idx="1">
                  <c:v>43264</c:v>
                </c:pt>
                <c:pt idx="2">
                  <c:v>43265</c:v>
                </c:pt>
                <c:pt idx="3">
                  <c:v>43266</c:v>
                </c:pt>
                <c:pt idx="4">
                  <c:v>43267</c:v>
                </c:pt>
                <c:pt idx="5">
                  <c:v>43268</c:v>
                </c:pt>
                <c:pt idx="6">
                  <c:v>43269</c:v>
                </c:pt>
              </c:numCache>
            </c:numRef>
          </c:cat>
          <c:val>
            <c:numRef>
              <c:f>config!$AH$5:$AH$11</c:f>
              <c:numCache>
                <c:formatCode>General</c:formatCode>
                <c:ptCount val="7"/>
                <c:pt idx="0">
                  <c:v>646</c:v>
                </c:pt>
                <c:pt idx="1">
                  <c:v>745</c:v>
                </c:pt>
                <c:pt idx="2">
                  <c:v>683</c:v>
                </c:pt>
                <c:pt idx="3">
                  <c:v>747</c:v>
                </c:pt>
                <c:pt idx="4">
                  <c:v>523</c:v>
                </c:pt>
                <c:pt idx="5">
                  <c:v>514</c:v>
                </c:pt>
                <c:pt idx="6">
                  <c:v>663</c:v>
                </c:pt>
              </c:numCache>
            </c:numRef>
          </c:val>
          <c:smooth val="0"/>
        </c:ser>
        <c:dLbls>
          <c:showLegendKey val="0"/>
          <c:showVal val="0"/>
          <c:showCatName val="0"/>
          <c:showSerName val="0"/>
          <c:showPercent val="0"/>
          <c:showBubbleSize val="0"/>
        </c:dLbls>
        <c:marker val="1"/>
        <c:smooth val="0"/>
        <c:axId val="-2026224864"/>
        <c:axId val="-2026223232"/>
      </c:lineChart>
      <c:dateAx>
        <c:axId val="-2026224864"/>
        <c:scaling>
          <c:orientation val="minMax"/>
        </c:scaling>
        <c:delete val="0"/>
        <c:axPos val="b"/>
        <c:numFmt formatCode="ddd\ dd\ mmm" sourceLinked="1"/>
        <c:majorTickMark val="none"/>
        <c:minorTickMark val="none"/>
        <c:tickLblPos val="nextTo"/>
        <c:spPr>
          <a:noFill/>
          <a:ln w="9525" cap="flat" cmpd="sng" algn="ctr">
            <a:solidFill>
              <a:schemeClr val="bg1">
                <a:lumMod val="85000"/>
              </a:schemeClr>
            </a:solidFill>
            <a:round/>
          </a:ln>
          <a:effectLst/>
        </c:spPr>
        <c:txPr>
          <a:bodyPr rot="-1980000" spcFirstLastPara="1" vertOverflow="ellipsis"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2026223232"/>
        <c:crosses val="autoZero"/>
        <c:auto val="1"/>
        <c:lblOffset val="100"/>
        <c:baseTimeUnit val="days"/>
      </c:dateAx>
      <c:valAx>
        <c:axId val="-2026223232"/>
        <c:scaling>
          <c:orientation val="minMax"/>
        </c:scaling>
        <c:delete val="0"/>
        <c:axPos val="l"/>
        <c:majorGridlines>
          <c:spPr>
            <a:ln w="9525" cap="flat" cmpd="sng" algn="ctr">
              <a:solidFill>
                <a:schemeClr val="bg1">
                  <a:lumMod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2026224864"/>
        <c:crosses val="autoZero"/>
        <c:crossBetween val="between"/>
      </c:valAx>
      <c:spPr>
        <a:noFill/>
        <a:ln>
          <a:noFill/>
        </a:ln>
        <a:effectLst/>
      </c:spPr>
    </c:plotArea>
    <c:legend>
      <c:legendPos val="r"/>
      <c:layout>
        <c:manualLayout>
          <c:xMode val="edge"/>
          <c:yMode val="edge"/>
          <c:x val="0.57624732954892277"/>
          <c:y val="0.54513823272091"/>
          <c:w val="0.38654336812549595"/>
          <c:h val="0.18750131233595804"/>
        </c:manualLayout>
      </c:layout>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solidFill>
      <a:round/>
    </a:ln>
    <a:effectLst/>
  </c:spPr>
  <c:txPr>
    <a:bodyPr/>
    <a:lstStyle/>
    <a:p>
      <a:pPr>
        <a:defRPr>
          <a:ln>
            <a:noFill/>
          </a:ln>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config!$AD$5</c:f>
              <c:strCache>
                <c:ptCount val="1"/>
                <c:pt idx="0">
                  <c:v>Tue 12 Jun</c:v>
                </c:pt>
              </c:strCache>
            </c:strRef>
          </c:tx>
          <c:spPr>
            <a:ln w="12700" cap="rnd">
              <a:solidFill>
                <a:schemeClr val="accent1"/>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'DIR1'!$B$15:$B$110</c:f>
              <c:numCache>
                <c:formatCode>General</c:formatCode>
                <c:ptCount val="96"/>
                <c:pt idx="0">
                  <c:v>0</c:v>
                </c:pt>
                <c:pt idx="1">
                  <c:v>0</c:v>
                </c:pt>
                <c:pt idx="2">
                  <c:v>1</c:v>
                </c:pt>
                <c:pt idx="3">
                  <c:v>2</c:v>
                </c:pt>
                <c:pt idx="4">
                  <c:v>0</c:v>
                </c:pt>
                <c:pt idx="5">
                  <c:v>0</c:v>
                </c:pt>
                <c:pt idx="6">
                  <c:v>0</c:v>
                </c:pt>
                <c:pt idx="7">
                  <c:v>0</c:v>
                </c:pt>
                <c:pt idx="8">
                  <c:v>0</c:v>
                </c:pt>
                <c:pt idx="9">
                  <c:v>0</c:v>
                </c:pt>
                <c:pt idx="10">
                  <c:v>0</c:v>
                </c:pt>
                <c:pt idx="11">
                  <c:v>0</c:v>
                </c:pt>
                <c:pt idx="12">
                  <c:v>0</c:v>
                </c:pt>
                <c:pt idx="13">
                  <c:v>1</c:v>
                </c:pt>
                <c:pt idx="14">
                  <c:v>0</c:v>
                </c:pt>
                <c:pt idx="15">
                  <c:v>1</c:v>
                </c:pt>
                <c:pt idx="16">
                  <c:v>0</c:v>
                </c:pt>
                <c:pt idx="17">
                  <c:v>0</c:v>
                </c:pt>
                <c:pt idx="18">
                  <c:v>0</c:v>
                </c:pt>
                <c:pt idx="19">
                  <c:v>0</c:v>
                </c:pt>
                <c:pt idx="20">
                  <c:v>0</c:v>
                </c:pt>
                <c:pt idx="21">
                  <c:v>1</c:v>
                </c:pt>
                <c:pt idx="22">
                  <c:v>1</c:v>
                </c:pt>
                <c:pt idx="23">
                  <c:v>2</c:v>
                </c:pt>
                <c:pt idx="24">
                  <c:v>1</c:v>
                </c:pt>
                <c:pt idx="25">
                  <c:v>2</c:v>
                </c:pt>
                <c:pt idx="26">
                  <c:v>3</c:v>
                </c:pt>
                <c:pt idx="27">
                  <c:v>5</c:v>
                </c:pt>
                <c:pt idx="28">
                  <c:v>1</c:v>
                </c:pt>
                <c:pt idx="29">
                  <c:v>10</c:v>
                </c:pt>
                <c:pt idx="30">
                  <c:v>10</c:v>
                </c:pt>
                <c:pt idx="31">
                  <c:v>15</c:v>
                </c:pt>
                <c:pt idx="32">
                  <c:v>2</c:v>
                </c:pt>
                <c:pt idx="33">
                  <c:v>9</c:v>
                </c:pt>
                <c:pt idx="34">
                  <c:v>12</c:v>
                </c:pt>
                <c:pt idx="35">
                  <c:v>14</c:v>
                </c:pt>
                <c:pt idx="36">
                  <c:v>9</c:v>
                </c:pt>
                <c:pt idx="37">
                  <c:v>10</c:v>
                </c:pt>
                <c:pt idx="38">
                  <c:v>6</c:v>
                </c:pt>
                <c:pt idx="39">
                  <c:v>14</c:v>
                </c:pt>
                <c:pt idx="40">
                  <c:v>11</c:v>
                </c:pt>
                <c:pt idx="41">
                  <c:v>9</c:v>
                </c:pt>
                <c:pt idx="42">
                  <c:v>9</c:v>
                </c:pt>
                <c:pt idx="43">
                  <c:v>19</c:v>
                </c:pt>
                <c:pt idx="44">
                  <c:v>4</c:v>
                </c:pt>
                <c:pt idx="45">
                  <c:v>6</c:v>
                </c:pt>
                <c:pt idx="46">
                  <c:v>12</c:v>
                </c:pt>
                <c:pt idx="47">
                  <c:v>11</c:v>
                </c:pt>
                <c:pt idx="48">
                  <c:v>7</c:v>
                </c:pt>
                <c:pt idx="49">
                  <c:v>9</c:v>
                </c:pt>
                <c:pt idx="50">
                  <c:v>11</c:v>
                </c:pt>
                <c:pt idx="51">
                  <c:v>10</c:v>
                </c:pt>
                <c:pt idx="52">
                  <c:v>11</c:v>
                </c:pt>
                <c:pt idx="53">
                  <c:v>7</c:v>
                </c:pt>
                <c:pt idx="54">
                  <c:v>6</c:v>
                </c:pt>
                <c:pt idx="55">
                  <c:v>8</c:v>
                </c:pt>
                <c:pt idx="56">
                  <c:v>15</c:v>
                </c:pt>
                <c:pt idx="57">
                  <c:v>8</c:v>
                </c:pt>
                <c:pt idx="58">
                  <c:v>10</c:v>
                </c:pt>
                <c:pt idx="59">
                  <c:v>8</c:v>
                </c:pt>
                <c:pt idx="60">
                  <c:v>15</c:v>
                </c:pt>
                <c:pt idx="61">
                  <c:v>11</c:v>
                </c:pt>
                <c:pt idx="62">
                  <c:v>24</c:v>
                </c:pt>
                <c:pt idx="63">
                  <c:v>12</c:v>
                </c:pt>
                <c:pt idx="64">
                  <c:v>16</c:v>
                </c:pt>
                <c:pt idx="65">
                  <c:v>12</c:v>
                </c:pt>
                <c:pt idx="66">
                  <c:v>21</c:v>
                </c:pt>
                <c:pt idx="67">
                  <c:v>25</c:v>
                </c:pt>
                <c:pt idx="68">
                  <c:v>19</c:v>
                </c:pt>
                <c:pt idx="69">
                  <c:v>22</c:v>
                </c:pt>
                <c:pt idx="70">
                  <c:v>14</c:v>
                </c:pt>
                <c:pt idx="71">
                  <c:v>24</c:v>
                </c:pt>
                <c:pt idx="72">
                  <c:v>16</c:v>
                </c:pt>
                <c:pt idx="73">
                  <c:v>8</c:v>
                </c:pt>
                <c:pt idx="74">
                  <c:v>19</c:v>
                </c:pt>
                <c:pt idx="75">
                  <c:v>13</c:v>
                </c:pt>
                <c:pt idx="76">
                  <c:v>15</c:v>
                </c:pt>
                <c:pt idx="77">
                  <c:v>9</c:v>
                </c:pt>
                <c:pt idx="78">
                  <c:v>13</c:v>
                </c:pt>
                <c:pt idx="79">
                  <c:v>10</c:v>
                </c:pt>
                <c:pt idx="80">
                  <c:v>10</c:v>
                </c:pt>
                <c:pt idx="81">
                  <c:v>3</c:v>
                </c:pt>
                <c:pt idx="82">
                  <c:v>7</c:v>
                </c:pt>
                <c:pt idx="83">
                  <c:v>2</c:v>
                </c:pt>
                <c:pt idx="84">
                  <c:v>3</c:v>
                </c:pt>
                <c:pt idx="85">
                  <c:v>4</c:v>
                </c:pt>
                <c:pt idx="86">
                  <c:v>3</c:v>
                </c:pt>
                <c:pt idx="87">
                  <c:v>0</c:v>
                </c:pt>
                <c:pt idx="88">
                  <c:v>3</c:v>
                </c:pt>
                <c:pt idx="89">
                  <c:v>1</c:v>
                </c:pt>
                <c:pt idx="90">
                  <c:v>4</c:v>
                </c:pt>
                <c:pt idx="91">
                  <c:v>3</c:v>
                </c:pt>
                <c:pt idx="92">
                  <c:v>2</c:v>
                </c:pt>
                <c:pt idx="93">
                  <c:v>0</c:v>
                </c:pt>
                <c:pt idx="94">
                  <c:v>1</c:v>
                </c:pt>
                <c:pt idx="95">
                  <c:v>1</c:v>
                </c:pt>
              </c:numCache>
            </c:numRef>
          </c:val>
          <c:smooth val="0"/>
        </c:ser>
        <c:ser>
          <c:idx val="1"/>
          <c:order val="1"/>
          <c:tx>
            <c:strRef>
              <c:f>config!$AD$6</c:f>
              <c:strCache>
                <c:ptCount val="1"/>
                <c:pt idx="0">
                  <c:v>Wed 13 Jun</c:v>
                </c:pt>
              </c:strCache>
            </c:strRef>
          </c:tx>
          <c:spPr>
            <a:ln w="12700" cap="rnd">
              <a:solidFill>
                <a:schemeClr val="accent1"/>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'DIR1'!$B$122:$B$217</c:f>
              <c:numCache>
                <c:formatCode>General</c:formatCode>
                <c:ptCount val="96"/>
                <c:pt idx="0">
                  <c:v>1</c:v>
                </c:pt>
                <c:pt idx="1">
                  <c:v>0</c:v>
                </c:pt>
                <c:pt idx="2">
                  <c:v>2</c:v>
                </c:pt>
                <c:pt idx="3">
                  <c:v>0</c:v>
                </c:pt>
                <c:pt idx="4">
                  <c:v>0</c:v>
                </c:pt>
                <c:pt idx="5">
                  <c:v>0</c:v>
                </c:pt>
                <c:pt idx="6">
                  <c:v>0</c:v>
                </c:pt>
                <c:pt idx="7">
                  <c:v>0</c:v>
                </c:pt>
                <c:pt idx="8">
                  <c:v>0</c:v>
                </c:pt>
                <c:pt idx="9">
                  <c:v>0</c:v>
                </c:pt>
                <c:pt idx="10">
                  <c:v>1</c:v>
                </c:pt>
                <c:pt idx="11">
                  <c:v>0</c:v>
                </c:pt>
                <c:pt idx="12">
                  <c:v>0</c:v>
                </c:pt>
                <c:pt idx="13">
                  <c:v>1</c:v>
                </c:pt>
                <c:pt idx="14">
                  <c:v>0</c:v>
                </c:pt>
                <c:pt idx="15">
                  <c:v>1</c:v>
                </c:pt>
                <c:pt idx="16">
                  <c:v>0</c:v>
                </c:pt>
                <c:pt idx="17">
                  <c:v>0</c:v>
                </c:pt>
                <c:pt idx="18">
                  <c:v>0</c:v>
                </c:pt>
                <c:pt idx="19">
                  <c:v>1</c:v>
                </c:pt>
                <c:pt idx="20">
                  <c:v>0</c:v>
                </c:pt>
                <c:pt idx="21">
                  <c:v>1</c:v>
                </c:pt>
                <c:pt idx="22">
                  <c:v>2</c:v>
                </c:pt>
                <c:pt idx="23">
                  <c:v>0</c:v>
                </c:pt>
                <c:pt idx="24">
                  <c:v>1</c:v>
                </c:pt>
                <c:pt idx="25">
                  <c:v>3</c:v>
                </c:pt>
                <c:pt idx="26">
                  <c:v>3</c:v>
                </c:pt>
                <c:pt idx="27">
                  <c:v>3</c:v>
                </c:pt>
                <c:pt idx="28">
                  <c:v>3</c:v>
                </c:pt>
                <c:pt idx="29">
                  <c:v>7</c:v>
                </c:pt>
                <c:pt idx="30">
                  <c:v>10</c:v>
                </c:pt>
                <c:pt idx="31">
                  <c:v>14</c:v>
                </c:pt>
                <c:pt idx="32">
                  <c:v>10</c:v>
                </c:pt>
                <c:pt idx="33">
                  <c:v>6</c:v>
                </c:pt>
                <c:pt idx="34">
                  <c:v>15</c:v>
                </c:pt>
                <c:pt idx="35">
                  <c:v>8</c:v>
                </c:pt>
                <c:pt idx="36">
                  <c:v>5</c:v>
                </c:pt>
                <c:pt idx="37">
                  <c:v>10</c:v>
                </c:pt>
                <c:pt idx="38">
                  <c:v>10</c:v>
                </c:pt>
                <c:pt idx="39">
                  <c:v>9</c:v>
                </c:pt>
                <c:pt idx="40">
                  <c:v>6</c:v>
                </c:pt>
                <c:pt idx="41">
                  <c:v>8</c:v>
                </c:pt>
                <c:pt idx="42">
                  <c:v>9</c:v>
                </c:pt>
                <c:pt idx="43">
                  <c:v>7</c:v>
                </c:pt>
                <c:pt idx="44">
                  <c:v>7</c:v>
                </c:pt>
                <c:pt idx="45">
                  <c:v>12</c:v>
                </c:pt>
                <c:pt idx="46">
                  <c:v>19</c:v>
                </c:pt>
                <c:pt idx="47">
                  <c:v>10</c:v>
                </c:pt>
                <c:pt idx="48">
                  <c:v>10</c:v>
                </c:pt>
                <c:pt idx="49">
                  <c:v>12</c:v>
                </c:pt>
                <c:pt idx="50">
                  <c:v>12</c:v>
                </c:pt>
                <c:pt idx="51">
                  <c:v>20</c:v>
                </c:pt>
                <c:pt idx="52">
                  <c:v>13</c:v>
                </c:pt>
                <c:pt idx="53">
                  <c:v>10</c:v>
                </c:pt>
                <c:pt idx="54">
                  <c:v>11</c:v>
                </c:pt>
                <c:pt idx="55">
                  <c:v>9</c:v>
                </c:pt>
                <c:pt idx="56">
                  <c:v>13</c:v>
                </c:pt>
                <c:pt idx="57">
                  <c:v>17</c:v>
                </c:pt>
                <c:pt idx="58">
                  <c:v>18</c:v>
                </c:pt>
                <c:pt idx="59">
                  <c:v>12</c:v>
                </c:pt>
                <c:pt idx="60">
                  <c:v>13</c:v>
                </c:pt>
                <c:pt idx="61">
                  <c:v>8</c:v>
                </c:pt>
                <c:pt idx="62">
                  <c:v>9</c:v>
                </c:pt>
                <c:pt idx="63">
                  <c:v>12</c:v>
                </c:pt>
                <c:pt idx="64">
                  <c:v>20</c:v>
                </c:pt>
                <c:pt idx="65">
                  <c:v>17</c:v>
                </c:pt>
                <c:pt idx="66">
                  <c:v>12</c:v>
                </c:pt>
                <c:pt idx="67">
                  <c:v>17</c:v>
                </c:pt>
                <c:pt idx="68">
                  <c:v>18</c:v>
                </c:pt>
                <c:pt idx="69">
                  <c:v>33</c:v>
                </c:pt>
                <c:pt idx="70">
                  <c:v>25</c:v>
                </c:pt>
                <c:pt idx="71">
                  <c:v>25</c:v>
                </c:pt>
                <c:pt idx="72">
                  <c:v>21</c:v>
                </c:pt>
                <c:pt idx="73">
                  <c:v>10</c:v>
                </c:pt>
                <c:pt idx="74">
                  <c:v>17</c:v>
                </c:pt>
                <c:pt idx="75">
                  <c:v>8</c:v>
                </c:pt>
                <c:pt idx="76">
                  <c:v>12</c:v>
                </c:pt>
                <c:pt idx="77">
                  <c:v>14</c:v>
                </c:pt>
                <c:pt idx="78">
                  <c:v>14</c:v>
                </c:pt>
                <c:pt idx="79">
                  <c:v>8</c:v>
                </c:pt>
                <c:pt idx="80">
                  <c:v>8</c:v>
                </c:pt>
                <c:pt idx="81">
                  <c:v>12</c:v>
                </c:pt>
                <c:pt idx="82">
                  <c:v>6</c:v>
                </c:pt>
                <c:pt idx="83">
                  <c:v>10</c:v>
                </c:pt>
                <c:pt idx="84">
                  <c:v>4</c:v>
                </c:pt>
                <c:pt idx="85">
                  <c:v>8</c:v>
                </c:pt>
                <c:pt idx="86">
                  <c:v>7</c:v>
                </c:pt>
                <c:pt idx="87">
                  <c:v>5</c:v>
                </c:pt>
                <c:pt idx="88">
                  <c:v>4</c:v>
                </c:pt>
                <c:pt idx="89">
                  <c:v>3</c:v>
                </c:pt>
                <c:pt idx="90">
                  <c:v>1</c:v>
                </c:pt>
                <c:pt idx="91">
                  <c:v>1</c:v>
                </c:pt>
                <c:pt idx="92">
                  <c:v>1</c:v>
                </c:pt>
                <c:pt idx="93">
                  <c:v>1</c:v>
                </c:pt>
                <c:pt idx="94">
                  <c:v>2</c:v>
                </c:pt>
                <c:pt idx="95">
                  <c:v>0</c:v>
                </c:pt>
              </c:numCache>
            </c:numRef>
          </c:val>
          <c:smooth val="0"/>
        </c:ser>
        <c:ser>
          <c:idx val="2"/>
          <c:order val="2"/>
          <c:tx>
            <c:strRef>
              <c:f>config!$AD$7</c:f>
              <c:strCache>
                <c:ptCount val="1"/>
                <c:pt idx="0">
                  <c:v>Thu 14 Jun</c:v>
                </c:pt>
              </c:strCache>
            </c:strRef>
          </c:tx>
          <c:spPr>
            <a:ln w="12700" cap="rnd">
              <a:solidFill>
                <a:schemeClr val="accent1"/>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'DIR1'!$B$229:$B$324</c:f>
              <c:numCache>
                <c:formatCode>General</c:formatCode>
                <c:ptCount val="96"/>
                <c:pt idx="0">
                  <c:v>1</c:v>
                </c:pt>
                <c:pt idx="1">
                  <c:v>0</c:v>
                </c:pt>
                <c:pt idx="2">
                  <c:v>0</c:v>
                </c:pt>
                <c:pt idx="3">
                  <c:v>1</c:v>
                </c:pt>
                <c:pt idx="4">
                  <c:v>0</c:v>
                </c:pt>
                <c:pt idx="5">
                  <c:v>0</c:v>
                </c:pt>
                <c:pt idx="6">
                  <c:v>0</c:v>
                </c:pt>
                <c:pt idx="7">
                  <c:v>0</c:v>
                </c:pt>
                <c:pt idx="8">
                  <c:v>0</c:v>
                </c:pt>
                <c:pt idx="9">
                  <c:v>0</c:v>
                </c:pt>
                <c:pt idx="10">
                  <c:v>0</c:v>
                </c:pt>
                <c:pt idx="11">
                  <c:v>0</c:v>
                </c:pt>
                <c:pt idx="12">
                  <c:v>0</c:v>
                </c:pt>
                <c:pt idx="13">
                  <c:v>0</c:v>
                </c:pt>
                <c:pt idx="14">
                  <c:v>0</c:v>
                </c:pt>
                <c:pt idx="15">
                  <c:v>1</c:v>
                </c:pt>
                <c:pt idx="16">
                  <c:v>0</c:v>
                </c:pt>
                <c:pt idx="17">
                  <c:v>1</c:v>
                </c:pt>
                <c:pt idx="18">
                  <c:v>0</c:v>
                </c:pt>
                <c:pt idx="19">
                  <c:v>0</c:v>
                </c:pt>
                <c:pt idx="20">
                  <c:v>0</c:v>
                </c:pt>
                <c:pt idx="21">
                  <c:v>1</c:v>
                </c:pt>
                <c:pt idx="22">
                  <c:v>1</c:v>
                </c:pt>
                <c:pt idx="23">
                  <c:v>0</c:v>
                </c:pt>
                <c:pt idx="24">
                  <c:v>2</c:v>
                </c:pt>
                <c:pt idx="25">
                  <c:v>1</c:v>
                </c:pt>
                <c:pt idx="26">
                  <c:v>5</c:v>
                </c:pt>
                <c:pt idx="27">
                  <c:v>4</c:v>
                </c:pt>
                <c:pt idx="28">
                  <c:v>4</c:v>
                </c:pt>
                <c:pt idx="29">
                  <c:v>8</c:v>
                </c:pt>
                <c:pt idx="30">
                  <c:v>9</c:v>
                </c:pt>
                <c:pt idx="31">
                  <c:v>13</c:v>
                </c:pt>
                <c:pt idx="32">
                  <c:v>3</c:v>
                </c:pt>
                <c:pt idx="33">
                  <c:v>6</c:v>
                </c:pt>
                <c:pt idx="34">
                  <c:v>7</c:v>
                </c:pt>
                <c:pt idx="35">
                  <c:v>11</c:v>
                </c:pt>
                <c:pt idx="36">
                  <c:v>11</c:v>
                </c:pt>
                <c:pt idx="37">
                  <c:v>11</c:v>
                </c:pt>
                <c:pt idx="38">
                  <c:v>4</c:v>
                </c:pt>
                <c:pt idx="39">
                  <c:v>17</c:v>
                </c:pt>
                <c:pt idx="40">
                  <c:v>8</c:v>
                </c:pt>
                <c:pt idx="41">
                  <c:v>10</c:v>
                </c:pt>
                <c:pt idx="42">
                  <c:v>10</c:v>
                </c:pt>
                <c:pt idx="43">
                  <c:v>6</c:v>
                </c:pt>
                <c:pt idx="44">
                  <c:v>8</c:v>
                </c:pt>
                <c:pt idx="45">
                  <c:v>7</c:v>
                </c:pt>
                <c:pt idx="46">
                  <c:v>9</c:v>
                </c:pt>
                <c:pt idx="47">
                  <c:v>7</c:v>
                </c:pt>
                <c:pt idx="48">
                  <c:v>10</c:v>
                </c:pt>
                <c:pt idx="49">
                  <c:v>11</c:v>
                </c:pt>
                <c:pt idx="50">
                  <c:v>9</c:v>
                </c:pt>
                <c:pt idx="51">
                  <c:v>9</c:v>
                </c:pt>
                <c:pt idx="52">
                  <c:v>7</c:v>
                </c:pt>
                <c:pt idx="53">
                  <c:v>8</c:v>
                </c:pt>
                <c:pt idx="54">
                  <c:v>7</c:v>
                </c:pt>
                <c:pt idx="55">
                  <c:v>10</c:v>
                </c:pt>
                <c:pt idx="56">
                  <c:v>7</c:v>
                </c:pt>
                <c:pt idx="57">
                  <c:v>11</c:v>
                </c:pt>
                <c:pt idx="58">
                  <c:v>11</c:v>
                </c:pt>
                <c:pt idx="59">
                  <c:v>9</c:v>
                </c:pt>
                <c:pt idx="60">
                  <c:v>10</c:v>
                </c:pt>
                <c:pt idx="61">
                  <c:v>11</c:v>
                </c:pt>
                <c:pt idx="62">
                  <c:v>23</c:v>
                </c:pt>
                <c:pt idx="63">
                  <c:v>17</c:v>
                </c:pt>
                <c:pt idx="64">
                  <c:v>20</c:v>
                </c:pt>
                <c:pt idx="65">
                  <c:v>15</c:v>
                </c:pt>
                <c:pt idx="66">
                  <c:v>16</c:v>
                </c:pt>
                <c:pt idx="67">
                  <c:v>24</c:v>
                </c:pt>
                <c:pt idx="68">
                  <c:v>17</c:v>
                </c:pt>
                <c:pt idx="69">
                  <c:v>26</c:v>
                </c:pt>
                <c:pt idx="70">
                  <c:v>23</c:v>
                </c:pt>
                <c:pt idx="71">
                  <c:v>19</c:v>
                </c:pt>
                <c:pt idx="72">
                  <c:v>14</c:v>
                </c:pt>
                <c:pt idx="73">
                  <c:v>13</c:v>
                </c:pt>
                <c:pt idx="74">
                  <c:v>8</c:v>
                </c:pt>
                <c:pt idx="75">
                  <c:v>7</c:v>
                </c:pt>
                <c:pt idx="76">
                  <c:v>23</c:v>
                </c:pt>
                <c:pt idx="77">
                  <c:v>13</c:v>
                </c:pt>
                <c:pt idx="78">
                  <c:v>15</c:v>
                </c:pt>
                <c:pt idx="79">
                  <c:v>12</c:v>
                </c:pt>
                <c:pt idx="80">
                  <c:v>7</c:v>
                </c:pt>
                <c:pt idx="81">
                  <c:v>13</c:v>
                </c:pt>
                <c:pt idx="82">
                  <c:v>6</c:v>
                </c:pt>
                <c:pt idx="83">
                  <c:v>7</c:v>
                </c:pt>
                <c:pt idx="84">
                  <c:v>4</c:v>
                </c:pt>
                <c:pt idx="85">
                  <c:v>6</c:v>
                </c:pt>
                <c:pt idx="86">
                  <c:v>4</c:v>
                </c:pt>
                <c:pt idx="87">
                  <c:v>7</c:v>
                </c:pt>
                <c:pt idx="88">
                  <c:v>4</c:v>
                </c:pt>
                <c:pt idx="89">
                  <c:v>2</c:v>
                </c:pt>
                <c:pt idx="90">
                  <c:v>3</c:v>
                </c:pt>
                <c:pt idx="91">
                  <c:v>4</c:v>
                </c:pt>
                <c:pt idx="92">
                  <c:v>0</c:v>
                </c:pt>
                <c:pt idx="93">
                  <c:v>0</c:v>
                </c:pt>
                <c:pt idx="94">
                  <c:v>3</c:v>
                </c:pt>
                <c:pt idx="95">
                  <c:v>0</c:v>
                </c:pt>
              </c:numCache>
            </c:numRef>
          </c:val>
          <c:smooth val="0"/>
        </c:ser>
        <c:ser>
          <c:idx val="3"/>
          <c:order val="3"/>
          <c:tx>
            <c:strRef>
              <c:f>config!$AD$8</c:f>
              <c:strCache>
                <c:ptCount val="1"/>
                <c:pt idx="0">
                  <c:v>Fri 15 Jun</c:v>
                </c:pt>
              </c:strCache>
            </c:strRef>
          </c:tx>
          <c:spPr>
            <a:ln w="12700" cap="rnd">
              <a:solidFill>
                <a:schemeClr val="accent1"/>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'DIR1'!$B$336:$B$431</c:f>
              <c:numCache>
                <c:formatCode>General</c:formatCode>
                <c:ptCount val="96"/>
                <c:pt idx="0">
                  <c:v>1</c:v>
                </c:pt>
                <c:pt idx="1">
                  <c:v>0</c:v>
                </c:pt>
                <c:pt idx="2">
                  <c:v>1</c:v>
                </c:pt>
                <c:pt idx="3">
                  <c:v>0</c:v>
                </c:pt>
                <c:pt idx="4">
                  <c:v>1</c:v>
                </c:pt>
                <c:pt idx="5">
                  <c:v>0</c:v>
                </c:pt>
                <c:pt idx="6">
                  <c:v>0</c:v>
                </c:pt>
                <c:pt idx="7">
                  <c:v>0</c:v>
                </c:pt>
                <c:pt idx="8">
                  <c:v>0</c:v>
                </c:pt>
                <c:pt idx="9">
                  <c:v>0</c:v>
                </c:pt>
                <c:pt idx="10">
                  <c:v>1</c:v>
                </c:pt>
                <c:pt idx="11">
                  <c:v>0</c:v>
                </c:pt>
                <c:pt idx="12">
                  <c:v>0</c:v>
                </c:pt>
                <c:pt idx="13">
                  <c:v>1</c:v>
                </c:pt>
                <c:pt idx="14">
                  <c:v>0</c:v>
                </c:pt>
                <c:pt idx="15">
                  <c:v>1</c:v>
                </c:pt>
                <c:pt idx="16">
                  <c:v>0</c:v>
                </c:pt>
                <c:pt idx="17">
                  <c:v>0</c:v>
                </c:pt>
                <c:pt idx="18">
                  <c:v>1</c:v>
                </c:pt>
                <c:pt idx="19">
                  <c:v>0</c:v>
                </c:pt>
                <c:pt idx="20">
                  <c:v>1</c:v>
                </c:pt>
                <c:pt idx="21">
                  <c:v>1</c:v>
                </c:pt>
                <c:pt idx="22">
                  <c:v>1</c:v>
                </c:pt>
                <c:pt idx="23">
                  <c:v>2</c:v>
                </c:pt>
                <c:pt idx="24">
                  <c:v>3</c:v>
                </c:pt>
                <c:pt idx="25">
                  <c:v>2</c:v>
                </c:pt>
                <c:pt idx="26">
                  <c:v>4</c:v>
                </c:pt>
                <c:pt idx="27">
                  <c:v>4</c:v>
                </c:pt>
                <c:pt idx="28">
                  <c:v>5</c:v>
                </c:pt>
                <c:pt idx="29">
                  <c:v>6</c:v>
                </c:pt>
                <c:pt idx="30">
                  <c:v>9</c:v>
                </c:pt>
                <c:pt idx="31">
                  <c:v>15</c:v>
                </c:pt>
                <c:pt idx="32">
                  <c:v>8</c:v>
                </c:pt>
                <c:pt idx="33">
                  <c:v>6</c:v>
                </c:pt>
                <c:pt idx="34">
                  <c:v>8</c:v>
                </c:pt>
                <c:pt idx="35">
                  <c:v>13</c:v>
                </c:pt>
                <c:pt idx="36">
                  <c:v>15</c:v>
                </c:pt>
                <c:pt idx="37">
                  <c:v>6</c:v>
                </c:pt>
                <c:pt idx="38">
                  <c:v>7</c:v>
                </c:pt>
                <c:pt idx="39">
                  <c:v>10</c:v>
                </c:pt>
                <c:pt idx="40">
                  <c:v>9</c:v>
                </c:pt>
                <c:pt idx="41">
                  <c:v>10</c:v>
                </c:pt>
                <c:pt idx="42">
                  <c:v>10</c:v>
                </c:pt>
                <c:pt idx="43">
                  <c:v>3</c:v>
                </c:pt>
                <c:pt idx="44">
                  <c:v>16</c:v>
                </c:pt>
                <c:pt idx="45">
                  <c:v>12</c:v>
                </c:pt>
                <c:pt idx="46">
                  <c:v>15</c:v>
                </c:pt>
                <c:pt idx="47">
                  <c:v>13</c:v>
                </c:pt>
                <c:pt idx="48">
                  <c:v>14</c:v>
                </c:pt>
                <c:pt idx="49">
                  <c:v>13</c:v>
                </c:pt>
                <c:pt idx="50">
                  <c:v>14</c:v>
                </c:pt>
                <c:pt idx="51">
                  <c:v>17</c:v>
                </c:pt>
                <c:pt idx="52">
                  <c:v>14</c:v>
                </c:pt>
                <c:pt idx="53">
                  <c:v>9</c:v>
                </c:pt>
                <c:pt idx="54">
                  <c:v>19</c:v>
                </c:pt>
                <c:pt idx="55">
                  <c:v>14</c:v>
                </c:pt>
                <c:pt idx="56">
                  <c:v>10</c:v>
                </c:pt>
                <c:pt idx="57">
                  <c:v>14</c:v>
                </c:pt>
                <c:pt idx="58">
                  <c:v>21</c:v>
                </c:pt>
                <c:pt idx="59">
                  <c:v>8</c:v>
                </c:pt>
                <c:pt idx="60">
                  <c:v>16</c:v>
                </c:pt>
                <c:pt idx="61">
                  <c:v>12</c:v>
                </c:pt>
                <c:pt idx="62">
                  <c:v>18</c:v>
                </c:pt>
                <c:pt idx="63">
                  <c:v>11</c:v>
                </c:pt>
                <c:pt idx="64">
                  <c:v>14</c:v>
                </c:pt>
                <c:pt idx="65">
                  <c:v>21</c:v>
                </c:pt>
                <c:pt idx="66">
                  <c:v>26</c:v>
                </c:pt>
                <c:pt idx="67">
                  <c:v>25</c:v>
                </c:pt>
                <c:pt idx="68">
                  <c:v>23</c:v>
                </c:pt>
                <c:pt idx="69">
                  <c:v>23</c:v>
                </c:pt>
                <c:pt idx="70">
                  <c:v>15</c:v>
                </c:pt>
                <c:pt idx="71">
                  <c:v>20</c:v>
                </c:pt>
                <c:pt idx="72">
                  <c:v>20</c:v>
                </c:pt>
                <c:pt idx="73">
                  <c:v>12</c:v>
                </c:pt>
                <c:pt idx="74">
                  <c:v>5</c:v>
                </c:pt>
                <c:pt idx="75">
                  <c:v>10</c:v>
                </c:pt>
                <c:pt idx="76">
                  <c:v>14</c:v>
                </c:pt>
                <c:pt idx="77">
                  <c:v>5</c:v>
                </c:pt>
                <c:pt idx="78">
                  <c:v>15</c:v>
                </c:pt>
                <c:pt idx="79">
                  <c:v>10</c:v>
                </c:pt>
                <c:pt idx="80">
                  <c:v>11</c:v>
                </c:pt>
                <c:pt idx="81">
                  <c:v>6</c:v>
                </c:pt>
                <c:pt idx="82">
                  <c:v>6</c:v>
                </c:pt>
                <c:pt idx="83">
                  <c:v>6</c:v>
                </c:pt>
                <c:pt idx="84">
                  <c:v>11</c:v>
                </c:pt>
                <c:pt idx="85">
                  <c:v>7</c:v>
                </c:pt>
                <c:pt idx="86">
                  <c:v>2</c:v>
                </c:pt>
                <c:pt idx="87">
                  <c:v>5</c:v>
                </c:pt>
                <c:pt idx="88">
                  <c:v>2</c:v>
                </c:pt>
                <c:pt idx="89">
                  <c:v>1</c:v>
                </c:pt>
                <c:pt idx="90">
                  <c:v>3</c:v>
                </c:pt>
                <c:pt idx="91">
                  <c:v>3</c:v>
                </c:pt>
                <c:pt idx="92">
                  <c:v>3</c:v>
                </c:pt>
                <c:pt idx="93">
                  <c:v>2</c:v>
                </c:pt>
                <c:pt idx="94">
                  <c:v>4</c:v>
                </c:pt>
                <c:pt idx="95">
                  <c:v>4</c:v>
                </c:pt>
              </c:numCache>
            </c:numRef>
          </c:val>
          <c:smooth val="0"/>
        </c:ser>
        <c:ser>
          <c:idx val="4"/>
          <c:order val="4"/>
          <c:tx>
            <c:strRef>
              <c:f>config!$AD$9</c:f>
              <c:strCache>
                <c:ptCount val="1"/>
                <c:pt idx="0">
                  <c:v>Sat 16 Jun</c:v>
                </c:pt>
              </c:strCache>
            </c:strRef>
          </c:tx>
          <c:spPr>
            <a:ln w="12700" cap="rnd">
              <a:solidFill>
                <a:schemeClr val="accent1"/>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'DIR1'!$B$443:$B$538</c:f>
              <c:numCache>
                <c:formatCode>General</c:formatCode>
                <c:ptCount val="96"/>
                <c:pt idx="0">
                  <c:v>1</c:v>
                </c:pt>
                <c:pt idx="1">
                  <c:v>3</c:v>
                </c:pt>
                <c:pt idx="2">
                  <c:v>0</c:v>
                </c:pt>
                <c:pt idx="3">
                  <c:v>0</c:v>
                </c:pt>
                <c:pt idx="4">
                  <c:v>1</c:v>
                </c:pt>
                <c:pt idx="5">
                  <c:v>1</c:v>
                </c:pt>
                <c:pt idx="6">
                  <c:v>2</c:v>
                </c:pt>
                <c:pt idx="7">
                  <c:v>1</c:v>
                </c:pt>
                <c:pt idx="8">
                  <c:v>0</c:v>
                </c:pt>
                <c:pt idx="9">
                  <c:v>0</c:v>
                </c:pt>
                <c:pt idx="10">
                  <c:v>1</c:v>
                </c:pt>
                <c:pt idx="11">
                  <c:v>0</c:v>
                </c:pt>
                <c:pt idx="12">
                  <c:v>0</c:v>
                </c:pt>
                <c:pt idx="13">
                  <c:v>0</c:v>
                </c:pt>
                <c:pt idx="14">
                  <c:v>0</c:v>
                </c:pt>
                <c:pt idx="15">
                  <c:v>0</c:v>
                </c:pt>
                <c:pt idx="16">
                  <c:v>0</c:v>
                </c:pt>
                <c:pt idx="17">
                  <c:v>1</c:v>
                </c:pt>
                <c:pt idx="18">
                  <c:v>0</c:v>
                </c:pt>
                <c:pt idx="19">
                  <c:v>0</c:v>
                </c:pt>
                <c:pt idx="20">
                  <c:v>0</c:v>
                </c:pt>
                <c:pt idx="21">
                  <c:v>0</c:v>
                </c:pt>
                <c:pt idx="22">
                  <c:v>0</c:v>
                </c:pt>
                <c:pt idx="23">
                  <c:v>0</c:v>
                </c:pt>
                <c:pt idx="24">
                  <c:v>0</c:v>
                </c:pt>
                <c:pt idx="25">
                  <c:v>1</c:v>
                </c:pt>
                <c:pt idx="26">
                  <c:v>1</c:v>
                </c:pt>
                <c:pt idx="27">
                  <c:v>1</c:v>
                </c:pt>
                <c:pt idx="28">
                  <c:v>2</c:v>
                </c:pt>
                <c:pt idx="29">
                  <c:v>5</c:v>
                </c:pt>
                <c:pt idx="30">
                  <c:v>8</c:v>
                </c:pt>
                <c:pt idx="31">
                  <c:v>9</c:v>
                </c:pt>
                <c:pt idx="32">
                  <c:v>3</c:v>
                </c:pt>
                <c:pt idx="33">
                  <c:v>2</c:v>
                </c:pt>
                <c:pt idx="34">
                  <c:v>8</c:v>
                </c:pt>
                <c:pt idx="35">
                  <c:v>8</c:v>
                </c:pt>
                <c:pt idx="36">
                  <c:v>7</c:v>
                </c:pt>
                <c:pt idx="37">
                  <c:v>3</c:v>
                </c:pt>
                <c:pt idx="38">
                  <c:v>11</c:v>
                </c:pt>
                <c:pt idx="39">
                  <c:v>7</c:v>
                </c:pt>
                <c:pt idx="40">
                  <c:v>15</c:v>
                </c:pt>
                <c:pt idx="41">
                  <c:v>9</c:v>
                </c:pt>
                <c:pt idx="42">
                  <c:v>8</c:v>
                </c:pt>
                <c:pt idx="43">
                  <c:v>15</c:v>
                </c:pt>
                <c:pt idx="44">
                  <c:v>8</c:v>
                </c:pt>
                <c:pt idx="45">
                  <c:v>7</c:v>
                </c:pt>
                <c:pt idx="46">
                  <c:v>9</c:v>
                </c:pt>
                <c:pt idx="47">
                  <c:v>13</c:v>
                </c:pt>
                <c:pt idx="48">
                  <c:v>13</c:v>
                </c:pt>
                <c:pt idx="49">
                  <c:v>9</c:v>
                </c:pt>
                <c:pt idx="50">
                  <c:v>14</c:v>
                </c:pt>
                <c:pt idx="51">
                  <c:v>20</c:v>
                </c:pt>
                <c:pt idx="52">
                  <c:v>12</c:v>
                </c:pt>
                <c:pt idx="53">
                  <c:v>9</c:v>
                </c:pt>
                <c:pt idx="54">
                  <c:v>12</c:v>
                </c:pt>
                <c:pt idx="55">
                  <c:v>17</c:v>
                </c:pt>
                <c:pt idx="56">
                  <c:v>13</c:v>
                </c:pt>
                <c:pt idx="57">
                  <c:v>11</c:v>
                </c:pt>
                <c:pt idx="58">
                  <c:v>18</c:v>
                </c:pt>
                <c:pt idx="59">
                  <c:v>9</c:v>
                </c:pt>
                <c:pt idx="60">
                  <c:v>19</c:v>
                </c:pt>
                <c:pt idx="61">
                  <c:v>7</c:v>
                </c:pt>
                <c:pt idx="62">
                  <c:v>16</c:v>
                </c:pt>
                <c:pt idx="63">
                  <c:v>20</c:v>
                </c:pt>
                <c:pt idx="64">
                  <c:v>15</c:v>
                </c:pt>
                <c:pt idx="65">
                  <c:v>14</c:v>
                </c:pt>
                <c:pt idx="66">
                  <c:v>7</c:v>
                </c:pt>
                <c:pt idx="67">
                  <c:v>9</c:v>
                </c:pt>
                <c:pt idx="68">
                  <c:v>6</c:v>
                </c:pt>
                <c:pt idx="69">
                  <c:v>11</c:v>
                </c:pt>
                <c:pt idx="70">
                  <c:v>3</c:v>
                </c:pt>
                <c:pt idx="71">
                  <c:v>17</c:v>
                </c:pt>
                <c:pt idx="72">
                  <c:v>6</c:v>
                </c:pt>
                <c:pt idx="73">
                  <c:v>11</c:v>
                </c:pt>
                <c:pt idx="74">
                  <c:v>6</c:v>
                </c:pt>
                <c:pt idx="75">
                  <c:v>3</c:v>
                </c:pt>
                <c:pt idx="76">
                  <c:v>11</c:v>
                </c:pt>
                <c:pt idx="77">
                  <c:v>10</c:v>
                </c:pt>
                <c:pt idx="78">
                  <c:v>5</c:v>
                </c:pt>
                <c:pt idx="79">
                  <c:v>9</c:v>
                </c:pt>
                <c:pt idx="80">
                  <c:v>4</c:v>
                </c:pt>
                <c:pt idx="81">
                  <c:v>7</c:v>
                </c:pt>
                <c:pt idx="82">
                  <c:v>4</c:v>
                </c:pt>
                <c:pt idx="83">
                  <c:v>3</c:v>
                </c:pt>
                <c:pt idx="84">
                  <c:v>3</c:v>
                </c:pt>
                <c:pt idx="85">
                  <c:v>5</c:v>
                </c:pt>
                <c:pt idx="86">
                  <c:v>4</c:v>
                </c:pt>
                <c:pt idx="87">
                  <c:v>4</c:v>
                </c:pt>
                <c:pt idx="88">
                  <c:v>4</c:v>
                </c:pt>
                <c:pt idx="89">
                  <c:v>3</c:v>
                </c:pt>
                <c:pt idx="90">
                  <c:v>4</c:v>
                </c:pt>
                <c:pt idx="91">
                  <c:v>1</c:v>
                </c:pt>
                <c:pt idx="92">
                  <c:v>2</c:v>
                </c:pt>
                <c:pt idx="93">
                  <c:v>5</c:v>
                </c:pt>
                <c:pt idx="94">
                  <c:v>2</c:v>
                </c:pt>
                <c:pt idx="95">
                  <c:v>1</c:v>
                </c:pt>
              </c:numCache>
            </c:numRef>
          </c:val>
          <c:smooth val="0"/>
        </c:ser>
        <c:ser>
          <c:idx val="5"/>
          <c:order val="5"/>
          <c:tx>
            <c:strRef>
              <c:f>config!$AD$10</c:f>
              <c:strCache>
                <c:ptCount val="1"/>
                <c:pt idx="0">
                  <c:v>Sun 17 Jun</c:v>
                </c:pt>
              </c:strCache>
            </c:strRef>
          </c:tx>
          <c:spPr>
            <a:ln w="12700" cap="rnd">
              <a:solidFill>
                <a:schemeClr val="accent1"/>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'DIR1'!$B$550:$B$645</c:f>
              <c:numCache>
                <c:formatCode>General</c:formatCode>
                <c:ptCount val="96"/>
                <c:pt idx="0">
                  <c:v>2</c:v>
                </c:pt>
                <c:pt idx="1">
                  <c:v>0</c:v>
                </c:pt>
                <c:pt idx="2">
                  <c:v>0</c:v>
                </c:pt>
                <c:pt idx="3">
                  <c:v>0</c:v>
                </c:pt>
                <c:pt idx="4">
                  <c:v>1</c:v>
                </c:pt>
                <c:pt idx="5">
                  <c:v>0</c:v>
                </c:pt>
                <c:pt idx="6">
                  <c:v>0</c:v>
                </c:pt>
                <c:pt idx="7">
                  <c:v>1</c:v>
                </c:pt>
                <c:pt idx="8">
                  <c:v>1</c:v>
                </c:pt>
                <c:pt idx="9">
                  <c:v>0</c:v>
                </c:pt>
                <c:pt idx="10">
                  <c:v>0</c:v>
                </c:pt>
                <c:pt idx="11">
                  <c:v>0</c:v>
                </c:pt>
                <c:pt idx="12">
                  <c:v>0</c:v>
                </c:pt>
                <c:pt idx="13">
                  <c:v>0</c:v>
                </c:pt>
                <c:pt idx="14">
                  <c:v>0</c:v>
                </c:pt>
                <c:pt idx="15">
                  <c:v>0</c:v>
                </c:pt>
                <c:pt idx="16">
                  <c:v>0</c:v>
                </c:pt>
                <c:pt idx="17">
                  <c:v>0</c:v>
                </c:pt>
                <c:pt idx="18">
                  <c:v>0</c:v>
                </c:pt>
                <c:pt idx="19">
                  <c:v>1</c:v>
                </c:pt>
                <c:pt idx="20">
                  <c:v>1</c:v>
                </c:pt>
                <c:pt idx="21">
                  <c:v>0</c:v>
                </c:pt>
                <c:pt idx="22">
                  <c:v>0</c:v>
                </c:pt>
                <c:pt idx="23">
                  <c:v>0</c:v>
                </c:pt>
                <c:pt idx="24">
                  <c:v>0</c:v>
                </c:pt>
                <c:pt idx="25">
                  <c:v>1</c:v>
                </c:pt>
                <c:pt idx="26">
                  <c:v>2</c:v>
                </c:pt>
                <c:pt idx="27">
                  <c:v>0</c:v>
                </c:pt>
                <c:pt idx="28">
                  <c:v>1</c:v>
                </c:pt>
                <c:pt idx="29">
                  <c:v>3</c:v>
                </c:pt>
                <c:pt idx="30">
                  <c:v>3</c:v>
                </c:pt>
                <c:pt idx="31">
                  <c:v>2</c:v>
                </c:pt>
                <c:pt idx="32">
                  <c:v>1</c:v>
                </c:pt>
                <c:pt idx="33">
                  <c:v>4</c:v>
                </c:pt>
                <c:pt idx="34">
                  <c:v>3</c:v>
                </c:pt>
                <c:pt idx="35">
                  <c:v>4</c:v>
                </c:pt>
                <c:pt idx="36">
                  <c:v>3</c:v>
                </c:pt>
                <c:pt idx="37">
                  <c:v>5</c:v>
                </c:pt>
                <c:pt idx="38">
                  <c:v>8</c:v>
                </c:pt>
                <c:pt idx="39">
                  <c:v>7</c:v>
                </c:pt>
                <c:pt idx="40">
                  <c:v>2</c:v>
                </c:pt>
                <c:pt idx="41">
                  <c:v>7</c:v>
                </c:pt>
                <c:pt idx="42">
                  <c:v>20</c:v>
                </c:pt>
                <c:pt idx="43">
                  <c:v>13</c:v>
                </c:pt>
                <c:pt idx="44">
                  <c:v>10</c:v>
                </c:pt>
                <c:pt idx="45">
                  <c:v>26</c:v>
                </c:pt>
                <c:pt idx="46">
                  <c:v>12</c:v>
                </c:pt>
                <c:pt idx="47">
                  <c:v>17</c:v>
                </c:pt>
                <c:pt idx="48">
                  <c:v>25</c:v>
                </c:pt>
                <c:pt idx="49">
                  <c:v>18</c:v>
                </c:pt>
                <c:pt idx="50">
                  <c:v>19</c:v>
                </c:pt>
                <c:pt idx="51">
                  <c:v>17</c:v>
                </c:pt>
                <c:pt idx="52">
                  <c:v>14</c:v>
                </c:pt>
                <c:pt idx="53">
                  <c:v>16</c:v>
                </c:pt>
                <c:pt idx="54">
                  <c:v>8</c:v>
                </c:pt>
                <c:pt idx="55">
                  <c:v>17</c:v>
                </c:pt>
                <c:pt idx="56">
                  <c:v>10</c:v>
                </c:pt>
                <c:pt idx="57">
                  <c:v>15</c:v>
                </c:pt>
                <c:pt idx="58">
                  <c:v>23</c:v>
                </c:pt>
                <c:pt idx="59">
                  <c:v>15</c:v>
                </c:pt>
                <c:pt idx="60">
                  <c:v>10</c:v>
                </c:pt>
                <c:pt idx="61">
                  <c:v>13</c:v>
                </c:pt>
                <c:pt idx="62">
                  <c:v>11</c:v>
                </c:pt>
                <c:pt idx="63">
                  <c:v>8</c:v>
                </c:pt>
                <c:pt idx="64">
                  <c:v>7</c:v>
                </c:pt>
                <c:pt idx="65">
                  <c:v>5</c:v>
                </c:pt>
                <c:pt idx="66">
                  <c:v>9</c:v>
                </c:pt>
                <c:pt idx="67">
                  <c:v>10</c:v>
                </c:pt>
                <c:pt idx="68">
                  <c:v>9</c:v>
                </c:pt>
                <c:pt idx="69">
                  <c:v>12</c:v>
                </c:pt>
                <c:pt idx="70">
                  <c:v>5</c:v>
                </c:pt>
                <c:pt idx="71">
                  <c:v>11</c:v>
                </c:pt>
                <c:pt idx="72">
                  <c:v>11</c:v>
                </c:pt>
                <c:pt idx="73">
                  <c:v>7</c:v>
                </c:pt>
                <c:pt idx="74">
                  <c:v>2</c:v>
                </c:pt>
                <c:pt idx="75">
                  <c:v>7</c:v>
                </c:pt>
                <c:pt idx="76">
                  <c:v>7</c:v>
                </c:pt>
                <c:pt idx="77">
                  <c:v>9</c:v>
                </c:pt>
                <c:pt idx="78">
                  <c:v>5</c:v>
                </c:pt>
                <c:pt idx="79">
                  <c:v>9</c:v>
                </c:pt>
                <c:pt idx="80">
                  <c:v>6</c:v>
                </c:pt>
                <c:pt idx="81">
                  <c:v>4</c:v>
                </c:pt>
                <c:pt idx="82">
                  <c:v>4</c:v>
                </c:pt>
                <c:pt idx="83">
                  <c:v>3</c:v>
                </c:pt>
                <c:pt idx="84">
                  <c:v>6</c:v>
                </c:pt>
                <c:pt idx="85">
                  <c:v>3</c:v>
                </c:pt>
                <c:pt idx="86">
                  <c:v>2</c:v>
                </c:pt>
                <c:pt idx="87">
                  <c:v>2</c:v>
                </c:pt>
                <c:pt idx="88">
                  <c:v>2</c:v>
                </c:pt>
                <c:pt idx="89">
                  <c:v>3</c:v>
                </c:pt>
                <c:pt idx="90">
                  <c:v>0</c:v>
                </c:pt>
                <c:pt idx="91">
                  <c:v>0</c:v>
                </c:pt>
                <c:pt idx="92">
                  <c:v>1</c:v>
                </c:pt>
                <c:pt idx="93">
                  <c:v>0</c:v>
                </c:pt>
                <c:pt idx="94">
                  <c:v>0</c:v>
                </c:pt>
                <c:pt idx="95">
                  <c:v>1</c:v>
                </c:pt>
              </c:numCache>
            </c:numRef>
          </c:val>
          <c:smooth val="0"/>
        </c:ser>
        <c:ser>
          <c:idx val="6"/>
          <c:order val="6"/>
          <c:tx>
            <c:strRef>
              <c:f>config!$AD$11</c:f>
              <c:strCache>
                <c:ptCount val="1"/>
                <c:pt idx="0">
                  <c:v>Mon 18 Jun</c:v>
                </c:pt>
              </c:strCache>
            </c:strRef>
          </c:tx>
          <c:spPr>
            <a:ln w="12700" cap="rnd">
              <a:solidFill>
                <a:schemeClr val="accent1"/>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'DIR1'!$B$657:$B$752</c:f>
              <c:numCache>
                <c:formatCode>General</c:formatCode>
                <c:ptCount val="96"/>
                <c:pt idx="0">
                  <c:v>0</c:v>
                </c:pt>
                <c:pt idx="1">
                  <c:v>0</c:v>
                </c:pt>
                <c:pt idx="2">
                  <c:v>0</c:v>
                </c:pt>
                <c:pt idx="3">
                  <c:v>0</c:v>
                </c:pt>
                <c:pt idx="4">
                  <c:v>0</c:v>
                </c:pt>
                <c:pt idx="5">
                  <c:v>0</c:v>
                </c:pt>
                <c:pt idx="6">
                  <c:v>1</c:v>
                </c:pt>
                <c:pt idx="7">
                  <c:v>0</c:v>
                </c:pt>
                <c:pt idx="8">
                  <c:v>0</c:v>
                </c:pt>
                <c:pt idx="9">
                  <c:v>0</c:v>
                </c:pt>
                <c:pt idx="10">
                  <c:v>0</c:v>
                </c:pt>
                <c:pt idx="11">
                  <c:v>0</c:v>
                </c:pt>
                <c:pt idx="12">
                  <c:v>0</c:v>
                </c:pt>
                <c:pt idx="13">
                  <c:v>0</c:v>
                </c:pt>
                <c:pt idx="14">
                  <c:v>1</c:v>
                </c:pt>
                <c:pt idx="15">
                  <c:v>0</c:v>
                </c:pt>
                <c:pt idx="16">
                  <c:v>0</c:v>
                </c:pt>
                <c:pt idx="17">
                  <c:v>0</c:v>
                </c:pt>
                <c:pt idx="18">
                  <c:v>0</c:v>
                </c:pt>
                <c:pt idx="19">
                  <c:v>0</c:v>
                </c:pt>
                <c:pt idx="20">
                  <c:v>0</c:v>
                </c:pt>
                <c:pt idx="21">
                  <c:v>0</c:v>
                </c:pt>
                <c:pt idx="22">
                  <c:v>0</c:v>
                </c:pt>
                <c:pt idx="23">
                  <c:v>2</c:v>
                </c:pt>
                <c:pt idx="24">
                  <c:v>2</c:v>
                </c:pt>
                <c:pt idx="25">
                  <c:v>2</c:v>
                </c:pt>
                <c:pt idx="26">
                  <c:v>3</c:v>
                </c:pt>
                <c:pt idx="27">
                  <c:v>4</c:v>
                </c:pt>
                <c:pt idx="28">
                  <c:v>6</c:v>
                </c:pt>
                <c:pt idx="29">
                  <c:v>3</c:v>
                </c:pt>
                <c:pt idx="30">
                  <c:v>10</c:v>
                </c:pt>
                <c:pt idx="31">
                  <c:v>15</c:v>
                </c:pt>
                <c:pt idx="32">
                  <c:v>7</c:v>
                </c:pt>
                <c:pt idx="33">
                  <c:v>7</c:v>
                </c:pt>
                <c:pt idx="34">
                  <c:v>10</c:v>
                </c:pt>
                <c:pt idx="35">
                  <c:v>13</c:v>
                </c:pt>
                <c:pt idx="36">
                  <c:v>11</c:v>
                </c:pt>
                <c:pt idx="37">
                  <c:v>2</c:v>
                </c:pt>
                <c:pt idx="38">
                  <c:v>12</c:v>
                </c:pt>
                <c:pt idx="39">
                  <c:v>2</c:v>
                </c:pt>
                <c:pt idx="40">
                  <c:v>11</c:v>
                </c:pt>
                <c:pt idx="41">
                  <c:v>13</c:v>
                </c:pt>
                <c:pt idx="42">
                  <c:v>8</c:v>
                </c:pt>
                <c:pt idx="43">
                  <c:v>5</c:v>
                </c:pt>
                <c:pt idx="44">
                  <c:v>6</c:v>
                </c:pt>
                <c:pt idx="45">
                  <c:v>12</c:v>
                </c:pt>
                <c:pt idx="46">
                  <c:v>9</c:v>
                </c:pt>
                <c:pt idx="47">
                  <c:v>14</c:v>
                </c:pt>
                <c:pt idx="48">
                  <c:v>15</c:v>
                </c:pt>
                <c:pt idx="49">
                  <c:v>9</c:v>
                </c:pt>
                <c:pt idx="50">
                  <c:v>12</c:v>
                </c:pt>
                <c:pt idx="51">
                  <c:v>12</c:v>
                </c:pt>
                <c:pt idx="52">
                  <c:v>9</c:v>
                </c:pt>
                <c:pt idx="53">
                  <c:v>10</c:v>
                </c:pt>
                <c:pt idx="54">
                  <c:v>10</c:v>
                </c:pt>
                <c:pt idx="55">
                  <c:v>7</c:v>
                </c:pt>
                <c:pt idx="56">
                  <c:v>9</c:v>
                </c:pt>
                <c:pt idx="57">
                  <c:v>12</c:v>
                </c:pt>
                <c:pt idx="58">
                  <c:v>14</c:v>
                </c:pt>
                <c:pt idx="59">
                  <c:v>12</c:v>
                </c:pt>
                <c:pt idx="60">
                  <c:v>14</c:v>
                </c:pt>
                <c:pt idx="61">
                  <c:v>9</c:v>
                </c:pt>
                <c:pt idx="62">
                  <c:v>20</c:v>
                </c:pt>
                <c:pt idx="63">
                  <c:v>11</c:v>
                </c:pt>
                <c:pt idx="64">
                  <c:v>17</c:v>
                </c:pt>
                <c:pt idx="65">
                  <c:v>14</c:v>
                </c:pt>
                <c:pt idx="66">
                  <c:v>15</c:v>
                </c:pt>
                <c:pt idx="67">
                  <c:v>17</c:v>
                </c:pt>
                <c:pt idx="68">
                  <c:v>25</c:v>
                </c:pt>
                <c:pt idx="69">
                  <c:v>21</c:v>
                </c:pt>
                <c:pt idx="70">
                  <c:v>37</c:v>
                </c:pt>
                <c:pt idx="71">
                  <c:v>28</c:v>
                </c:pt>
                <c:pt idx="72">
                  <c:v>13</c:v>
                </c:pt>
                <c:pt idx="73">
                  <c:v>14</c:v>
                </c:pt>
                <c:pt idx="74">
                  <c:v>14</c:v>
                </c:pt>
                <c:pt idx="75">
                  <c:v>15</c:v>
                </c:pt>
                <c:pt idx="76">
                  <c:v>11</c:v>
                </c:pt>
                <c:pt idx="77">
                  <c:v>10</c:v>
                </c:pt>
                <c:pt idx="78">
                  <c:v>6</c:v>
                </c:pt>
                <c:pt idx="79">
                  <c:v>5</c:v>
                </c:pt>
                <c:pt idx="80">
                  <c:v>3</c:v>
                </c:pt>
                <c:pt idx="81">
                  <c:v>4</c:v>
                </c:pt>
                <c:pt idx="82">
                  <c:v>3</c:v>
                </c:pt>
                <c:pt idx="83">
                  <c:v>7</c:v>
                </c:pt>
                <c:pt idx="84">
                  <c:v>6</c:v>
                </c:pt>
                <c:pt idx="85">
                  <c:v>8</c:v>
                </c:pt>
                <c:pt idx="86">
                  <c:v>3</c:v>
                </c:pt>
                <c:pt idx="87">
                  <c:v>2</c:v>
                </c:pt>
                <c:pt idx="88">
                  <c:v>4</c:v>
                </c:pt>
                <c:pt idx="89">
                  <c:v>1</c:v>
                </c:pt>
                <c:pt idx="90">
                  <c:v>5</c:v>
                </c:pt>
                <c:pt idx="91">
                  <c:v>4</c:v>
                </c:pt>
                <c:pt idx="92">
                  <c:v>7</c:v>
                </c:pt>
                <c:pt idx="93">
                  <c:v>0</c:v>
                </c:pt>
                <c:pt idx="94">
                  <c:v>1</c:v>
                </c:pt>
                <c:pt idx="95">
                  <c:v>0</c:v>
                </c:pt>
              </c:numCache>
            </c:numRef>
          </c:val>
          <c:smooth val="0"/>
        </c:ser>
        <c:dLbls>
          <c:showLegendKey val="0"/>
          <c:showVal val="0"/>
          <c:showCatName val="0"/>
          <c:showSerName val="0"/>
          <c:showPercent val="0"/>
          <c:showBubbleSize val="0"/>
        </c:dLbls>
        <c:marker val="1"/>
        <c:smooth val="0"/>
        <c:axId val="-2026222144"/>
        <c:axId val="-2026234656"/>
      </c:lineChart>
      <c:lineChart>
        <c:grouping val="standard"/>
        <c:varyColors val="0"/>
        <c:ser>
          <c:idx val="7"/>
          <c:order val="7"/>
          <c:tx>
            <c:strRef>
              <c:f>'DIR1'!$CA$10</c:f>
              <c:strCache>
                <c:ptCount val="1"/>
                <c:pt idx="0">
                  <c:v>85%</c:v>
                </c:pt>
              </c:strCache>
            </c:strRef>
          </c:tx>
          <c:spPr>
            <a:ln w="25400" cap="rnd">
              <a:solidFill>
                <a:schemeClr val="tx1"/>
              </a:solidFill>
              <a:prstDash val="sysDash"/>
              <a:round/>
            </a:ln>
            <a:effectLst/>
          </c:spPr>
          <c:marker>
            <c:symbol val="none"/>
          </c:marker>
          <c:val>
            <c:numRef>
              <c:f>'DIR1'!$CA$11:$CA$106</c:f>
              <c:numCache>
                <c:formatCode>0.0</c:formatCode>
                <c:ptCount val="9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55.9</c:v>
                </c:pt>
                <c:pt idx="32">
                  <c:v>#N/A</c:v>
                </c:pt>
                <c:pt idx="33">
                  <c:v>#N/A</c:v>
                </c:pt>
                <c:pt idx="34">
                  <c:v>48.5</c:v>
                </c:pt>
                <c:pt idx="35">
                  <c:v>49.224999999999994</c:v>
                </c:pt>
                <c:pt idx="36">
                  <c:v>42.966666666666669</c:v>
                </c:pt>
                <c:pt idx="37">
                  <c:v>42.5</c:v>
                </c:pt>
                <c:pt idx="38">
                  <c:v>44.599999999999994</c:v>
                </c:pt>
                <c:pt idx="39">
                  <c:v>45.35</c:v>
                </c:pt>
                <c:pt idx="40">
                  <c:v>43.199999999999996</c:v>
                </c:pt>
                <c:pt idx="41">
                  <c:v>41.5</c:v>
                </c:pt>
                <c:pt idx="42">
                  <c:v>38.9</c:v>
                </c:pt>
                <c:pt idx="43">
                  <c:v>46.666666666666664</c:v>
                </c:pt>
                <c:pt idx="44">
                  <c:v>47.7</c:v>
                </c:pt>
                <c:pt idx="45">
                  <c:v>44.45</c:v>
                </c:pt>
                <c:pt idx="46">
                  <c:v>46.275000000000006</c:v>
                </c:pt>
                <c:pt idx="47">
                  <c:v>45.239999999999995</c:v>
                </c:pt>
                <c:pt idx="48">
                  <c:v>49.424999999999997</c:v>
                </c:pt>
                <c:pt idx="49">
                  <c:v>46.5</c:v>
                </c:pt>
                <c:pt idx="50">
                  <c:v>48.449999999999996</c:v>
                </c:pt>
                <c:pt idx="51">
                  <c:v>48.780000000000008</c:v>
                </c:pt>
                <c:pt idx="52">
                  <c:v>46.660000000000004</c:v>
                </c:pt>
                <c:pt idx="53">
                  <c:v>41</c:v>
                </c:pt>
                <c:pt idx="54">
                  <c:v>50.6</c:v>
                </c:pt>
                <c:pt idx="55">
                  <c:v>47.099999999999994</c:v>
                </c:pt>
                <c:pt idx="56">
                  <c:v>47.466666666666669</c:v>
                </c:pt>
                <c:pt idx="57">
                  <c:v>46.133333333333333</c:v>
                </c:pt>
                <c:pt idx="58">
                  <c:v>45.783333333333331</c:v>
                </c:pt>
                <c:pt idx="59">
                  <c:v>47.566666666666663</c:v>
                </c:pt>
                <c:pt idx="60">
                  <c:v>49.7</c:v>
                </c:pt>
                <c:pt idx="61">
                  <c:v>44.8</c:v>
                </c:pt>
                <c:pt idx="62">
                  <c:v>43.883333333333333</c:v>
                </c:pt>
                <c:pt idx="63">
                  <c:v>46.70000000000001</c:v>
                </c:pt>
                <c:pt idx="64">
                  <c:v>48.550000000000004</c:v>
                </c:pt>
                <c:pt idx="65">
                  <c:v>47.066666666666663</c:v>
                </c:pt>
                <c:pt idx="66">
                  <c:v>53.14</c:v>
                </c:pt>
                <c:pt idx="67">
                  <c:v>50.42</c:v>
                </c:pt>
                <c:pt idx="68">
                  <c:v>52.419999999999995</c:v>
                </c:pt>
                <c:pt idx="69">
                  <c:v>51.071428571428569</c:v>
                </c:pt>
                <c:pt idx="70">
                  <c:v>50.820000000000007</c:v>
                </c:pt>
                <c:pt idx="71">
                  <c:v>53.442857142857136</c:v>
                </c:pt>
                <c:pt idx="72">
                  <c:v>50.666666666666664</c:v>
                </c:pt>
                <c:pt idx="73">
                  <c:v>51.524999999999999</c:v>
                </c:pt>
                <c:pt idx="74">
                  <c:v>54.6</c:v>
                </c:pt>
                <c:pt idx="75">
                  <c:v>51</c:v>
                </c:pt>
                <c:pt idx="76">
                  <c:v>54.383333333333326</c:v>
                </c:pt>
                <c:pt idx="77">
                  <c:v>53.25</c:v>
                </c:pt>
                <c:pt idx="78">
                  <c:v>53.900000000000006</c:v>
                </c:pt>
                <c:pt idx="79">
                  <c:v>48.7</c:v>
                </c:pt>
                <c:pt idx="80">
                  <c:v>59.3</c:v>
                </c:pt>
                <c:pt idx="81">
                  <c:v>52.7</c:v>
                </c:pt>
                <c:pt idx="82">
                  <c:v>#N/A</c:v>
                </c:pt>
                <c:pt idx="83">
                  <c:v>#N/A</c:v>
                </c:pt>
                <c:pt idx="84">
                  <c:v>51</c:v>
                </c:pt>
                <c:pt idx="85">
                  <c:v>#N/A</c:v>
                </c:pt>
                <c:pt idx="86">
                  <c:v>#N/A</c:v>
                </c:pt>
                <c:pt idx="87">
                  <c:v>#N/A</c:v>
                </c:pt>
                <c:pt idx="88">
                  <c:v>#N/A</c:v>
                </c:pt>
                <c:pt idx="89">
                  <c:v>#N/A</c:v>
                </c:pt>
                <c:pt idx="90">
                  <c:v>#N/A</c:v>
                </c:pt>
                <c:pt idx="91">
                  <c:v>#N/A</c:v>
                </c:pt>
                <c:pt idx="92">
                  <c:v>#N/A</c:v>
                </c:pt>
                <c:pt idx="93">
                  <c:v>#N/A</c:v>
                </c:pt>
                <c:pt idx="94">
                  <c:v>#N/A</c:v>
                </c:pt>
                <c:pt idx="95">
                  <c:v>#N/A</c:v>
                </c:pt>
              </c:numCache>
            </c:numRef>
          </c:val>
          <c:smooth val="0"/>
        </c:ser>
        <c:ser>
          <c:idx val="8"/>
          <c:order val="8"/>
          <c:tx>
            <c:strRef>
              <c:f>'DIR1'!$CB$10</c:f>
              <c:strCache>
                <c:ptCount val="1"/>
                <c:pt idx="0">
                  <c:v>PSL</c:v>
                </c:pt>
              </c:strCache>
            </c:strRef>
          </c:tx>
          <c:spPr>
            <a:ln w="25400" cap="rnd">
              <a:solidFill>
                <a:srgbClr val="C00000"/>
              </a:solidFill>
              <a:prstDash val="sysDash"/>
              <a:round/>
            </a:ln>
            <a:effectLst/>
          </c:spPr>
          <c:marker>
            <c:symbol val="none"/>
          </c:marker>
          <c:val>
            <c:numRef>
              <c:f>'DIR1'!$CB$11:$CB$106</c:f>
              <c:numCache>
                <c:formatCode>General</c:formatCode>
                <c:ptCount val="96"/>
                <c:pt idx="0">
                  <c:v>60</c:v>
                </c:pt>
                <c:pt idx="1">
                  <c:v>60</c:v>
                </c:pt>
                <c:pt idx="2">
                  <c:v>60</c:v>
                </c:pt>
                <c:pt idx="3">
                  <c:v>60</c:v>
                </c:pt>
                <c:pt idx="4">
                  <c:v>60</c:v>
                </c:pt>
                <c:pt idx="5">
                  <c:v>60</c:v>
                </c:pt>
                <c:pt idx="6">
                  <c:v>60</c:v>
                </c:pt>
                <c:pt idx="7">
                  <c:v>60</c:v>
                </c:pt>
                <c:pt idx="8">
                  <c:v>60</c:v>
                </c:pt>
                <c:pt idx="9">
                  <c:v>60</c:v>
                </c:pt>
                <c:pt idx="10">
                  <c:v>60</c:v>
                </c:pt>
                <c:pt idx="11">
                  <c:v>60</c:v>
                </c:pt>
                <c:pt idx="12">
                  <c:v>60</c:v>
                </c:pt>
                <c:pt idx="13">
                  <c:v>60</c:v>
                </c:pt>
                <c:pt idx="14">
                  <c:v>60</c:v>
                </c:pt>
                <c:pt idx="15">
                  <c:v>60</c:v>
                </c:pt>
                <c:pt idx="16">
                  <c:v>60</c:v>
                </c:pt>
                <c:pt idx="17">
                  <c:v>60</c:v>
                </c:pt>
                <c:pt idx="18">
                  <c:v>60</c:v>
                </c:pt>
                <c:pt idx="19">
                  <c:v>60</c:v>
                </c:pt>
                <c:pt idx="20">
                  <c:v>60</c:v>
                </c:pt>
                <c:pt idx="21">
                  <c:v>60</c:v>
                </c:pt>
                <c:pt idx="22">
                  <c:v>60</c:v>
                </c:pt>
                <c:pt idx="23">
                  <c:v>60</c:v>
                </c:pt>
                <c:pt idx="24">
                  <c:v>60</c:v>
                </c:pt>
                <c:pt idx="25">
                  <c:v>60</c:v>
                </c:pt>
                <c:pt idx="26">
                  <c:v>60</c:v>
                </c:pt>
                <c:pt idx="27">
                  <c:v>60</c:v>
                </c:pt>
                <c:pt idx="28">
                  <c:v>60</c:v>
                </c:pt>
                <c:pt idx="29">
                  <c:v>60</c:v>
                </c:pt>
                <c:pt idx="30">
                  <c:v>60</c:v>
                </c:pt>
                <c:pt idx="31">
                  <c:v>60</c:v>
                </c:pt>
                <c:pt idx="32">
                  <c:v>60</c:v>
                </c:pt>
                <c:pt idx="33">
                  <c:v>60</c:v>
                </c:pt>
                <c:pt idx="34">
                  <c:v>60</c:v>
                </c:pt>
                <c:pt idx="35">
                  <c:v>60</c:v>
                </c:pt>
                <c:pt idx="36">
                  <c:v>60</c:v>
                </c:pt>
                <c:pt idx="37">
                  <c:v>60</c:v>
                </c:pt>
                <c:pt idx="38">
                  <c:v>60</c:v>
                </c:pt>
                <c:pt idx="39">
                  <c:v>60</c:v>
                </c:pt>
                <c:pt idx="40">
                  <c:v>60</c:v>
                </c:pt>
                <c:pt idx="41">
                  <c:v>60</c:v>
                </c:pt>
                <c:pt idx="42">
                  <c:v>60</c:v>
                </c:pt>
                <c:pt idx="43">
                  <c:v>60</c:v>
                </c:pt>
                <c:pt idx="44">
                  <c:v>60</c:v>
                </c:pt>
                <c:pt idx="45">
                  <c:v>60</c:v>
                </c:pt>
                <c:pt idx="46">
                  <c:v>60</c:v>
                </c:pt>
                <c:pt idx="47">
                  <c:v>60</c:v>
                </c:pt>
                <c:pt idx="48">
                  <c:v>60</c:v>
                </c:pt>
                <c:pt idx="49">
                  <c:v>60</c:v>
                </c:pt>
                <c:pt idx="50">
                  <c:v>60</c:v>
                </c:pt>
                <c:pt idx="51">
                  <c:v>60</c:v>
                </c:pt>
                <c:pt idx="52">
                  <c:v>60</c:v>
                </c:pt>
                <c:pt idx="53">
                  <c:v>60</c:v>
                </c:pt>
                <c:pt idx="54">
                  <c:v>60</c:v>
                </c:pt>
                <c:pt idx="55">
                  <c:v>60</c:v>
                </c:pt>
                <c:pt idx="56">
                  <c:v>60</c:v>
                </c:pt>
                <c:pt idx="57">
                  <c:v>60</c:v>
                </c:pt>
                <c:pt idx="58">
                  <c:v>60</c:v>
                </c:pt>
                <c:pt idx="59">
                  <c:v>60</c:v>
                </c:pt>
                <c:pt idx="60">
                  <c:v>60</c:v>
                </c:pt>
                <c:pt idx="61">
                  <c:v>60</c:v>
                </c:pt>
                <c:pt idx="62">
                  <c:v>60</c:v>
                </c:pt>
                <c:pt idx="63">
                  <c:v>60</c:v>
                </c:pt>
                <c:pt idx="64">
                  <c:v>60</c:v>
                </c:pt>
                <c:pt idx="65">
                  <c:v>60</c:v>
                </c:pt>
                <c:pt idx="66">
                  <c:v>60</c:v>
                </c:pt>
                <c:pt idx="67">
                  <c:v>60</c:v>
                </c:pt>
                <c:pt idx="68">
                  <c:v>60</c:v>
                </c:pt>
                <c:pt idx="69">
                  <c:v>60</c:v>
                </c:pt>
                <c:pt idx="70">
                  <c:v>60</c:v>
                </c:pt>
                <c:pt idx="71">
                  <c:v>60</c:v>
                </c:pt>
                <c:pt idx="72">
                  <c:v>60</c:v>
                </c:pt>
                <c:pt idx="73">
                  <c:v>60</c:v>
                </c:pt>
                <c:pt idx="74">
                  <c:v>60</c:v>
                </c:pt>
                <c:pt idx="75">
                  <c:v>60</c:v>
                </c:pt>
                <c:pt idx="76">
                  <c:v>60</c:v>
                </c:pt>
                <c:pt idx="77">
                  <c:v>60</c:v>
                </c:pt>
                <c:pt idx="78">
                  <c:v>60</c:v>
                </c:pt>
                <c:pt idx="79">
                  <c:v>60</c:v>
                </c:pt>
                <c:pt idx="80">
                  <c:v>60</c:v>
                </c:pt>
                <c:pt idx="81">
                  <c:v>60</c:v>
                </c:pt>
                <c:pt idx="82">
                  <c:v>60</c:v>
                </c:pt>
                <c:pt idx="83">
                  <c:v>60</c:v>
                </c:pt>
                <c:pt idx="84">
                  <c:v>60</c:v>
                </c:pt>
                <c:pt idx="85">
                  <c:v>60</c:v>
                </c:pt>
                <c:pt idx="86">
                  <c:v>60</c:v>
                </c:pt>
                <c:pt idx="87">
                  <c:v>60</c:v>
                </c:pt>
                <c:pt idx="88">
                  <c:v>60</c:v>
                </c:pt>
                <c:pt idx="89">
                  <c:v>60</c:v>
                </c:pt>
                <c:pt idx="90">
                  <c:v>60</c:v>
                </c:pt>
                <c:pt idx="91">
                  <c:v>60</c:v>
                </c:pt>
                <c:pt idx="92">
                  <c:v>60</c:v>
                </c:pt>
                <c:pt idx="93">
                  <c:v>60</c:v>
                </c:pt>
                <c:pt idx="94">
                  <c:v>60</c:v>
                </c:pt>
                <c:pt idx="95">
                  <c:v>60</c:v>
                </c:pt>
              </c:numCache>
            </c:numRef>
          </c:val>
          <c:smooth val="0"/>
        </c:ser>
        <c:ser>
          <c:idx val="9"/>
          <c:order val="9"/>
          <c:tx>
            <c:strRef>
              <c:f>'DIR1'!$BZ$10</c:f>
              <c:strCache>
                <c:ptCount val="1"/>
                <c:pt idx="0">
                  <c:v>AVG SPD</c:v>
                </c:pt>
              </c:strCache>
            </c:strRef>
          </c:tx>
          <c:spPr>
            <a:ln w="25400" cap="rnd">
              <a:solidFill>
                <a:srgbClr val="C00000"/>
              </a:solidFill>
              <a:round/>
            </a:ln>
            <a:effectLst/>
          </c:spPr>
          <c:marker>
            <c:symbol val="none"/>
          </c:marker>
          <c:val>
            <c:numRef>
              <c:f>'DIR1'!$BZ$11:$BZ$106</c:f>
              <c:numCache>
                <c:formatCode>0.0</c:formatCode>
                <c:ptCount val="96"/>
                <c:pt idx="0">
                  <c:v>41.46</c:v>
                </c:pt>
                <c:pt idx="1">
                  <c:v>39.5</c:v>
                </c:pt>
                <c:pt idx="2">
                  <c:v>46.29999999999999</c:v>
                </c:pt>
                <c:pt idx="3">
                  <c:v>52.7</c:v>
                </c:pt>
                <c:pt idx="4">
                  <c:v>47.6</c:v>
                </c:pt>
                <c:pt idx="5">
                  <c:v>42.1</c:v>
                </c:pt>
                <c:pt idx="6">
                  <c:v>40.450000000000003</c:v>
                </c:pt>
                <c:pt idx="7">
                  <c:v>44.55</c:v>
                </c:pt>
                <c:pt idx="8">
                  <c:v>36.799999999999997</c:v>
                </c:pt>
                <c:pt idx="9">
                  <c:v>#N/A</c:v>
                </c:pt>
                <c:pt idx="10">
                  <c:v>43.466666666666669</c:v>
                </c:pt>
                <c:pt idx="11">
                  <c:v>#N/A</c:v>
                </c:pt>
                <c:pt idx="12">
                  <c:v>#N/A</c:v>
                </c:pt>
                <c:pt idx="13">
                  <c:v>43.133333333333333</c:v>
                </c:pt>
                <c:pt idx="14">
                  <c:v>43.6</c:v>
                </c:pt>
                <c:pt idx="15">
                  <c:v>39.200000000000003</c:v>
                </c:pt>
                <c:pt idx="16">
                  <c:v>#N/A</c:v>
                </c:pt>
                <c:pt idx="17">
                  <c:v>38.299999999999997</c:v>
                </c:pt>
                <c:pt idx="18">
                  <c:v>48.1</c:v>
                </c:pt>
                <c:pt idx="19">
                  <c:v>50.400000000000006</c:v>
                </c:pt>
                <c:pt idx="20">
                  <c:v>35.799999999999997</c:v>
                </c:pt>
                <c:pt idx="21">
                  <c:v>37.775000000000006</c:v>
                </c:pt>
                <c:pt idx="22">
                  <c:v>44.949999999999996</c:v>
                </c:pt>
                <c:pt idx="23">
                  <c:v>52.6</c:v>
                </c:pt>
                <c:pt idx="24">
                  <c:v>43.58</c:v>
                </c:pt>
                <c:pt idx="25">
                  <c:v>43.6</c:v>
                </c:pt>
                <c:pt idx="26">
                  <c:v>43.714285714285715</c:v>
                </c:pt>
                <c:pt idx="27">
                  <c:v>37.083333333333336</c:v>
                </c:pt>
                <c:pt idx="28">
                  <c:v>41.68571428571429</c:v>
                </c:pt>
                <c:pt idx="29">
                  <c:v>45.671428571428571</c:v>
                </c:pt>
                <c:pt idx="30">
                  <c:v>41.057142857142857</c:v>
                </c:pt>
                <c:pt idx="31">
                  <c:v>45.185714285714297</c:v>
                </c:pt>
                <c:pt idx="32">
                  <c:v>39.199999999999996</c:v>
                </c:pt>
                <c:pt idx="33">
                  <c:v>41.585714285714289</c:v>
                </c:pt>
                <c:pt idx="34">
                  <c:v>38.642857142857146</c:v>
                </c:pt>
                <c:pt idx="35">
                  <c:v>37.871428571428574</c:v>
                </c:pt>
                <c:pt idx="36">
                  <c:v>33.75714285714286</c:v>
                </c:pt>
                <c:pt idx="37">
                  <c:v>34.557142857142857</c:v>
                </c:pt>
                <c:pt idx="38">
                  <c:v>33.857142857142861</c:v>
                </c:pt>
                <c:pt idx="39">
                  <c:v>34.657142857142858</c:v>
                </c:pt>
                <c:pt idx="40">
                  <c:v>35.6</c:v>
                </c:pt>
                <c:pt idx="41">
                  <c:v>35.714285714285715</c:v>
                </c:pt>
                <c:pt idx="42">
                  <c:v>38.442857142857136</c:v>
                </c:pt>
                <c:pt idx="43">
                  <c:v>35.542857142857144</c:v>
                </c:pt>
                <c:pt idx="44">
                  <c:v>38.18571428571429</c:v>
                </c:pt>
                <c:pt idx="45">
                  <c:v>39.328571428571429</c:v>
                </c:pt>
                <c:pt idx="46">
                  <c:v>38.585714285714282</c:v>
                </c:pt>
                <c:pt idx="47">
                  <c:v>38.357142857142854</c:v>
                </c:pt>
                <c:pt idx="48">
                  <c:v>38.371428571428574</c:v>
                </c:pt>
                <c:pt idx="49">
                  <c:v>38.25714285714286</c:v>
                </c:pt>
                <c:pt idx="50">
                  <c:v>39.128571428571426</c:v>
                </c:pt>
                <c:pt idx="51">
                  <c:v>37.657142857142858</c:v>
                </c:pt>
                <c:pt idx="52">
                  <c:v>38.442857142857143</c:v>
                </c:pt>
                <c:pt idx="53">
                  <c:v>38.657142857142851</c:v>
                </c:pt>
                <c:pt idx="54">
                  <c:v>38.414285714285711</c:v>
                </c:pt>
                <c:pt idx="55">
                  <c:v>40.328571428571429</c:v>
                </c:pt>
                <c:pt idx="56">
                  <c:v>38.942857142857136</c:v>
                </c:pt>
                <c:pt idx="57">
                  <c:v>39.171428571428571</c:v>
                </c:pt>
                <c:pt idx="58">
                  <c:v>39.042857142857144</c:v>
                </c:pt>
                <c:pt idx="59">
                  <c:v>40.057142857142857</c:v>
                </c:pt>
                <c:pt idx="60">
                  <c:v>39.699999999999996</c:v>
                </c:pt>
                <c:pt idx="61">
                  <c:v>36.785714285714285</c:v>
                </c:pt>
                <c:pt idx="62">
                  <c:v>37.6</c:v>
                </c:pt>
                <c:pt idx="63">
                  <c:v>39.48571428571428</c:v>
                </c:pt>
                <c:pt idx="64">
                  <c:v>40.51428571428572</c:v>
                </c:pt>
                <c:pt idx="65">
                  <c:v>39.842857142857149</c:v>
                </c:pt>
                <c:pt idx="66">
                  <c:v>43.271428571428579</c:v>
                </c:pt>
                <c:pt idx="67">
                  <c:v>41.142857142857146</c:v>
                </c:pt>
                <c:pt idx="68">
                  <c:v>44.25714285714286</c:v>
                </c:pt>
                <c:pt idx="69">
                  <c:v>43.31428571428571</c:v>
                </c:pt>
                <c:pt idx="70">
                  <c:v>43.042857142857144</c:v>
                </c:pt>
                <c:pt idx="71">
                  <c:v>43.585714285714289</c:v>
                </c:pt>
                <c:pt idx="72">
                  <c:v>43.771428571428565</c:v>
                </c:pt>
                <c:pt idx="73">
                  <c:v>43.471428571428575</c:v>
                </c:pt>
                <c:pt idx="74">
                  <c:v>43.842857142857149</c:v>
                </c:pt>
                <c:pt idx="75">
                  <c:v>41.81428571428571</c:v>
                </c:pt>
                <c:pt idx="76">
                  <c:v>43.957142857142856</c:v>
                </c:pt>
                <c:pt idx="77">
                  <c:v>42.48571428571428</c:v>
                </c:pt>
                <c:pt idx="78">
                  <c:v>42.285714285714285</c:v>
                </c:pt>
                <c:pt idx="79">
                  <c:v>43.4</c:v>
                </c:pt>
                <c:pt idx="80">
                  <c:v>40.957142857142848</c:v>
                </c:pt>
                <c:pt idx="81">
                  <c:v>43.071428571428569</c:v>
                </c:pt>
                <c:pt idx="82">
                  <c:v>45.071428571428569</c:v>
                </c:pt>
                <c:pt idx="83">
                  <c:v>45.142857142857146</c:v>
                </c:pt>
                <c:pt idx="84">
                  <c:v>44.371428571428567</c:v>
                </c:pt>
                <c:pt idx="85">
                  <c:v>43.828571428571429</c:v>
                </c:pt>
                <c:pt idx="86">
                  <c:v>45.18571428571429</c:v>
                </c:pt>
                <c:pt idx="87">
                  <c:v>45</c:v>
                </c:pt>
                <c:pt idx="88">
                  <c:v>46.385714285714286</c:v>
                </c:pt>
                <c:pt idx="89">
                  <c:v>42.199999999999996</c:v>
                </c:pt>
                <c:pt idx="90">
                  <c:v>40.93333333333333</c:v>
                </c:pt>
                <c:pt idx="91">
                  <c:v>44.716666666666669</c:v>
                </c:pt>
                <c:pt idx="92">
                  <c:v>42.949999999999996</c:v>
                </c:pt>
                <c:pt idx="93">
                  <c:v>43.333333333333336</c:v>
                </c:pt>
                <c:pt idx="94">
                  <c:v>49.633333333333333</c:v>
                </c:pt>
                <c:pt idx="95">
                  <c:v>41.375</c:v>
                </c:pt>
              </c:numCache>
            </c:numRef>
          </c:val>
          <c:smooth val="0"/>
        </c:ser>
        <c:dLbls>
          <c:showLegendKey val="0"/>
          <c:showVal val="0"/>
          <c:showCatName val="0"/>
          <c:showSerName val="0"/>
          <c:showPercent val="0"/>
          <c:showBubbleSize val="0"/>
        </c:dLbls>
        <c:marker val="1"/>
        <c:smooth val="0"/>
        <c:axId val="-2026225952"/>
        <c:axId val="-2026235200"/>
      </c:lineChart>
      <c:catAx>
        <c:axId val="-2026222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accent1">
                    <a:lumMod val="75000"/>
                  </a:schemeClr>
                </a:solidFill>
                <a:latin typeface="+mn-lt"/>
                <a:ea typeface="+mn-ea"/>
                <a:cs typeface="+mn-cs"/>
              </a:defRPr>
            </a:pPr>
            <a:endParaRPr lang="en-US"/>
          </a:p>
        </c:txPr>
        <c:crossAx val="-2026234656"/>
        <c:crosses val="autoZero"/>
        <c:auto val="1"/>
        <c:lblAlgn val="ctr"/>
        <c:lblOffset val="100"/>
        <c:noMultiLvlLbl val="0"/>
      </c:catAx>
      <c:valAx>
        <c:axId val="-2026234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accent1">
                    <a:lumMod val="75000"/>
                  </a:schemeClr>
                </a:solidFill>
                <a:latin typeface="+mn-lt"/>
                <a:ea typeface="+mn-ea"/>
                <a:cs typeface="+mn-cs"/>
              </a:defRPr>
            </a:pPr>
            <a:endParaRPr lang="en-US"/>
          </a:p>
        </c:txPr>
        <c:crossAx val="-2026222144"/>
        <c:crosses val="autoZero"/>
        <c:crossBetween val="between"/>
      </c:valAx>
      <c:valAx>
        <c:axId val="-20262352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rgbClr val="C00000"/>
                </a:solidFill>
                <a:latin typeface="+mn-lt"/>
                <a:ea typeface="+mn-ea"/>
                <a:cs typeface="+mn-cs"/>
              </a:defRPr>
            </a:pPr>
            <a:endParaRPr lang="en-US"/>
          </a:p>
        </c:txPr>
        <c:crossAx val="-2026225952"/>
        <c:crosses val="max"/>
        <c:crossBetween val="between"/>
      </c:valAx>
      <c:catAx>
        <c:axId val="-2026225952"/>
        <c:scaling>
          <c:orientation val="minMax"/>
        </c:scaling>
        <c:delete val="1"/>
        <c:axPos val="b"/>
        <c:majorTickMark val="out"/>
        <c:minorTickMark val="none"/>
        <c:tickLblPos val="nextTo"/>
        <c:crossAx val="-2026235200"/>
        <c:crosses val="autoZero"/>
        <c:auto val="1"/>
        <c:lblAlgn val="ctr"/>
        <c:lblOffset val="100"/>
        <c:noMultiLvlLbl val="0"/>
      </c:catAx>
      <c:spPr>
        <a:noFill/>
        <a:ln>
          <a:noFill/>
        </a:ln>
        <a:effectLst/>
      </c:spPr>
    </c:plotArea>
    <c:plotVisOnly val="0"/>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config!$AD$5</c:f>
              <c:strCache>
                <c:ptCount val="1"/>
                <c:pt idx="0">
                  <c:v>Tue 12 Jun</c:v>
                </c:pt>
              </c:strCache>
            </c:strRef>
          </c:tx>
          <c:spPr>
            <a:ln w="12700" cap="rnd">
              <a:solidFill>
                <a:schemeClr val="accent2"/>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'DIR2'!$B$15:$B$110</c:f>
              <c:numCache>
                <c:formatCode>General</c:formatCode>
                <c:ptCount val="96"/>
                <c:pt idx="0">
                  <c:v>0</c:v>
                </c:pt>
                <c:pt idx="1">
                  <c:v>0</c:v>
                </c:pt>
                <c:pt idx="2">
                  <c:v>0</c:v>
                </c:pt>
                <c:pt idx="3">
                  <c:v>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3</c:v>
                </c:pt>
                <c:pt idx="22">
                  <c:v>6</c:v>
                </c:pt>
                <c:pt idx="23">
                  <c:v>3</c:v>
                </c:pt>
                <c:pt idx="24">
                  <c:v>3</c:v>
                </c:pt>
                <c:pt idx="25">
                  <c:v>5</c:v>
                </c:pt>
                <c:pt idx="26">
                  <c:v>7</c:v>
                </c:pt>
                <c:pt idx="27">
                  <c:v>10</c:v>
                </c:pt>
                <c:pt idx="28">
                  <c:v>14</c:v>
                </c:pt>
                <c:pt idx="29">
                  <c:v>13</c:v>
                </c:pt>
                <c:pt idx="30">
                  <c:v>14</c:v>
                </c:pt>
                <c:pt idx="31">
                  <c:v>30</c:v>
                </c:pt>
                <c:pt idx="32">
                  <c:v>21</c:v>
                </c:pt>
                <c:pt idx="33">
                  <c:v>31</c:v>
                </c:pt>
                <c:pt idx="34">
                  <c:v>24</c:v>
                </c:pt>
                <c:pt idx="35">
                  <c:v>14</c:v>
                </c:pt>
                <c:pt idx="36">
                  <c:v>15</c:v>
                </c:pt>
                <c:pt idx="37">
                  <c:v>15</c:v>
                </c:pt>
                <c:pt idx="38">
                  <c:v>14</c:v>
                </c:pt>
                <c:pt idx="39">
                  <c:v>17</c:v>
                </c:pt>
                <c:pt idx="40">
                  <c:v>12</c:v>
                </c:pt>
                <c:pt idx="41">
                  <c:v>9</c:v>
                </c:pt>
                <c:pt idx="42">
                  <c:v>11</c:v>
                </c:pt>
                <c:pt idx="43">
                  <c:v>5</c:v>
                </c:pt>
                <c:pt idx="44">
                  <c:v>6</c:v>
                </c:pt>
                <c:pt idx="45">
                  <c:v>10</c:v>
                </c:pt>
                <c:pt idx="46">
                  <c:v>14</c:v>
                </c:pt>
                <c:pt idx="47">
                  <c:v>12</c:v>
                </c:pt>
                <c:pt idx="48">
                  <c:v>12</c:v>
                </c:pt>
                <c:pt idx="49">
                  <c:v>7</c:v>
                </c:pt>
                <c:pt idx="50">
                  <c:v>7</c:v>
                </c:pt>
                <c:pt idx="51">
                  <c:v>7</c:v>
                </c:pt>
                <c:pt idx="52">
                  <c:v>6</c:v>
                </c:pt>
                <c:pt idx="53">
                  <c:v>8</c:v>
                </c:pt>
                <c:pt idx="54">
                  <c:v>10</c:v>
                </c:pt>
                <c:pt idx="55">
                  <c:v>2</c:v>
                </c:pt>
                <c:pt idx="56">
                  <c:v>9</c:v>
                </c:pt>
                <c:pt idx="57">
                  <c:v>12</c:v>
                </c:pt>
                <c:pt idx="58">
                  <c:v>9</c:v>
                </c:pt>
                <c:pt idx="59">
                  <c:v>8</c:v>
                </c:pt>
                <c:pt idx="60">
                  <c:v>11</c:v>
                </c:pt>
                <c:pt idx="61">
                  <c:v>1</c:v>
                </c:pt>
                <c:pt idx="62">
                  <c:v>12</c:v>
                </c:pt>
                <c:pt idx="63">
                  <c:v>10</c:v>
                </c:pt>
                <c:pt idx="64">
                  <c:v>4</c:v>
                </c:pt>
                <c:pt idx="65">
                  <c:v>12</c:v>
                </c:pt>
                <c:pt idx="66">
                  <c:v>15</c:v>
                </c:pt>
                <c:pt idx="67">
                  <c:v>6</c:v>
                </c:pt>
                <c:pt idx="68">
                  <c:v>15</c:v>
                </c:pt>
                <c:pt idx="69">
                  <c:v>12</c:v>
                </c:pt>
                <c:pt idx="70">
                  <c:v>11</c:v>
                </c:pt>
                <c:pt idx="71">
                  <c:v>11</c:v>
                </c:pt>
                <c:pt idx="72">
                  <c:v>12</c:v>
                </c:pt>
                <c:pt idx="73">
                  <c:v>4</c:v>
                </c:pt>
                <c:pt idx="74">
                  <c:v>6</c:v>
                </c:pt>
                <c:pt idx="75">
                  <c:v>8</c:v>
                </c:pt>
                <c:pt idx="76">
                  <c:v>2</c:v>
                </c:pt>
                <c:pt idx="77">
                  <c:v>10</c:v>
                </c:pt>
                <c:pt idx="78">
                  <c:v>4</c:v>
                </c:pt>
                <c:pt idx="79">
                  <c:v>6</c:v>
                </c:pt>
                <c:pt idx="80">
                  <c:v>6</c:v>
                </c:pt>
                <c:pt idx="81">
                  <c:v>5</c:v>
                </c:pt>
                <c:pt idx="82">
                  <c:v>4</c:v>
                </c:pt>
                <c:pt idx="83">
                  <c:v>6</c:v>
                </c:pt>
                <c:pt idx="84">
                  <c:v>7</c:v>
                </c:pt>
                <c:pt idx="85">
                  <c:v>4</c:v>
                </c:pt>
                <c:pt idx="86">
                  <c:v>0</c:v>
                </c:pt>
                <c:pt idx="87">
                  <c:v>1</c:v>
                </c:pt>
                <c:pt idx="88">
                  <c:v>0</c:v>
                </c:pt>
                <c:pt idx="89">
                  <c:v>3</c:v>
                </c:pt>
                <c:pt idx="90">
                  <c:v>1</c:v>
                </c:pt>
                <c:pt idx="91">
                  <c:v>0</c:v>
                </c:pt>
                <c:pt idx="92">
                  <c:v>1</c:v>
                </c:pt>
                <c:pt idx="93">
                  <c:v>0</c:v>
                </c:pt>
                <c:pt idx="94">
                  <c:v>0</c:v>
                </c:pt>
                <c:pt idx="95">
                  <c:v>0</c:v>
                </c:pt>
              </c:numCache>
            </c:numRef>
          </c:val>
          <c:smooth val="0"/>
        </c:ser>
        <c:ser>
          <c:idx val="1"/>
          <c:order val="1"/>
          <c:tx>
            <c:strRef>
              <c:f>config!$AD$6</c:f>
              <c:strCache>
                <c:ptCount val="1"/>
                <c:pt idx="0">
                  <c:v>Wed 13 Jun</c:v>
                </c:pt>
              </c:strCache>
            </c:strRef>
          </c:tx>
          <c:spPr>
            <a:ln w="12700" cap="rnd">
              <a:solidFill>
                <a:schemeClr val="accent2"/>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'DIR2'!$B$122:$B$217</c:f>
              <c:numCache>
                <c:formatCode>General</c:formatCode>
                <c:ptCount val="96"/>
                <c:pt idx="0">
                  <c:v>0</c:v>
                </c:pt>
                <c:pt idx="1">
                  <c:v>0</c:v>
                </c:pt>
                <c:pt idx="2">
                  <c:v>0</c:v>
                </c:pt>
                <c:pt idx="3">
                  <c:v>0</c:v>
                </c:pt>
                <c:pt idx="4">
                  <c:v>0</c:v>
                </c:pt>
                <c:pt idx="5">
                  <c:v>0</c:v>
                </c:pt>
                <c:pt idx="6">
                  <c:v>0</c:v>
                </c:pt>
                <c:pt idx="7">
                  <c:v>0</c:v>
                </c:pt>
                <c:pt idx="8">
                  <c:v>0</c:v>
                </c:pt>
                <c:pt idx="9">
                  <c:v>0</c:v>
                </c:pt>
                <c:pt idx="10">
                  <c:v>0</c:v>
                </c:pt>
                <c:pt idx="11">
                  <c:v>0</c:v>
                </c:pt>
                <c:pt idx="12">
                  <c:v>0</c:v>
                </c:pt>
                <c:pt idx="13">
                  <c:v>1</c:v>
                </c:pt>
                <c:pt idx="14">
                  <c:v>0</c:v>
                </c:pt>
                <c:pt idx="15">
                  <c:v>2</c:v>
                </c:pt>
                <c:pt idx="16">
                  <c:v>0</c:v>
                </c:pt>
                <c:pt idx="17">
                  <c:v>0</c:v>
                </c:pt>
                <c:pt idx="18">
                  <c:v>0</c:v>
                </c:pt>
                <c:pt idx="19">
                  <c:v>1</c:v>
                </c:pt>
                <c:pt idx="20">
                  <c:v>0</c:v>
                </c:pt>
                <c:pt idx="21">
                  <c:v>5</c:v>
                </c:pt>
                <c:pt idx="22">
                  <c:v>4</c:v>
                </c:pt>
                <c:pt idx="23">
                  <c:v>4</c:v>
                </c:pt>
                <c:pt idx="24">
                  <c:v>4</c:v>
                </c:pt>
                <c:pt idx="25">
                  <c:v>4</c:v>
                </c:pt>
                <c:pt idx="26">
                  <c:v>12</c:v>
                </c:pt>
                <c:pt idx="27">
                  <c:v>13</c:v>
                </c:pt>
                <c:pt idx="28">
                  <c:v>12</c:v>
                </c:pt>
                <c:pt idx="29">
                  <c:v>18</c:v>
                </c:pt>
                <c:pt idx="30">
                  <c:v>25</c:v>
                </c:pt>
                <c:pt idx="31">
                  <c:v>28</c:v>
                </c:pt>
                <c:pt idx="32">
                  <c:v>28</c:v>
                </c:pt>
                <c:pt idx="33">
                  <c:v>26</c:v>
                </c:pt>
                <c:pt idx="34">
                  <c:v>22</c:v>
                </c:pt>
                <c:pt idx="35">
                  <c:v>19</c:v>
                </c:pt>
                <c:pt idx="36">
                  <c:v>21</c:v>
                </c:pt>
                <c:pt idx="37">
                  <c:v>28</c:v>
                </c:pt>
                <c:pt idx="38">
                  <c:v>11</c:v>
                </c:pt>
                <c:pt idx="39">
                  <c:v>25</c:v>
                </c:pt>
                <c:pt idx="40">
                  <c:v>11</c:v>
                </c:pt>
                <c:pt idx="41">
                  <c:v>8</c:v>
                </c:pt>
                <c:pt idx="42">
                  <c:v>11</c:v>
                </c:pt>
                <c:pt idx="43">
                  <c:v>9</c:v>
                </c:pt>
                <c:pt idx="44">
                  <c:v>12</c:v>
                </c:pt>
                <c:pt idx="45">
                  <c:v>5</c:v>
                </c:pt>
                <c:pt idx="46">
                  <c:v>8</c:v>
                </c:pt>
                <c:pt idx="47">
                  <c:v>8</c:v>
                </c:pt>
                <c:pt idx="48">
                  <c:v>11</c:v>
                </c:pt>
                <c:pt idx="49">
                  <c:v>4</c:v>
                </c:pt>
                <c:pt idx="50">
                  <c:v>13</c:v>
                </c:pt>
                <c:pt idx="51">
                  <c:v>8</c:v>
                </c:pt>
                <c:pt idx="52">
                  <c:v>6</c:v>
                </c:pt>
                <c:pt idx="53">
                  <c:v>7</c:v>
                </c:pt>
                <c:pt idx="54">
                  <c:v>10</c:v>
                </c:pt>
                <c:pt idx="55">
                  <c:v>9</c:v>
                </c:pt>
                <c:pt idx="56">
                  <c:v>12</c:v>
                </c:pt>
                <c:pt idx="57">
                  <c:v>10</c:v>
                </c:pt>
                <c:pt idx="58">
                  <c:v>5</c:v>
                </c:pt>
                <c:pt idx="59">
                  <c:v>7</c:v>
                </c:pt>
                <c:pt idx="60">
                  <c:v>13</c:v>
                </c:pt>
                <c:pt idx="61">
                  <c:v>17</c:v>
                </c:pt>
                <c:pt idx="62">
                  <c:v>11</c:v>
                </c:pt>
                <c:pt idx="63">
                  <c:v>8</c:v>
                </c:pt>
                <c:pt idx="64">
                  <c:v>9</c:v>
                </c:pt>
                <c:pt idx="65">
                  <c:v>16</c:v>
                </c:pt>
                <c:pt idx="66">
                  <c:v>8</c:v>
                </c:pt>
                <c:pt idx="67">
                  <c:v>13</c:v>
                </c:pt>
                <c:pt idx="68">
                  <c:v>15</c:v>
                </c:pt>
                <c:pt idx="69">
                  <c:v>10</c:v>
                </c:pt>
                <c:pt idx="70">
                  <c:v>8</c:v>
                </c:pt>
                <c:pt idx="71">
                  <c:v>7</c:v>
                </c:pt>
                <c:pt idx="72">
                  <c:v>18</c:v>
                </c:pt>
                <c:pt idx="73">
                  <c:v>8</c:v>
                </c:pt>
                <c:pt idx="74">
                  <c:v>9</c:v>
                </c:pt>
                <c:pt idx="75">
                  <c:v>9</c:v>
                </c:pt>
                <c:pt idx="76">
                  <c:v>8</c:v>
                </c:pt>
                <c:pt idx="77">
                  <c:v>12</c:v>
                </c:pt>
                <c:pt idx="78">
                  <c:v>10</c:v>
                </c:pt>
                <c:pt idx="79">
                  <c:v>6</c:v>
                </c:pt>
                <c:pt idx="80">
                  <c:v>2</c:v>
                </c:pt>
                <c:pt idx="81">
                  <c:v>6</c:v>
                </c:pt>
                <c:pt idx="82">
                  <c:v>2</c:v>
                </c:pt>
                <c:pt idx="83">
                  <c:v>2</c:v>
                </c:pt>
                <c:pt idx="84">
                  <c:v>6</c:v>
                </c:pt>
                <c:pt idx="85">
                  <c:v>7</c:v>
                </c:pt>
                <c:pt idx="86">
                  <c:v>5</c:v>
                </c:pt>
                <c:pt idx="87">
                  <c:v>1</c:v>
                </c:pt>
                <c:pt idx="88">
                  <c:v>4</c:v>
                </c:pt>
                <c:pt idx="89">
                  <c:v>1</c:v>
                </c:pt>
                <c:pt idx="90">
                  <c:v>3</c:v>
                </c:pt>
                <c:pt idx="91">
                  <c:v>3</c:v>
                </c:pt>
                <c:pt idx="92">
                  <c:v>0</c:v>
                </c:pt>
                <c:pt idx="93">
                  <c:v>1</c:v>
                </c:pt>
                <c:pt idx="94">
                  <c:v>0</c:v>
                </c:pt>
                <c:pt idx="95">
                  <c:v>0</c:v>
                </c:pt>
              </c:numCache>
            </c:numRef>
          </c:val>
          <c:smooth val="0"/>
        </c:ser>
        <c:ser>
          <c:idx val="2"/>
          <c:order val="2"/>
          <c:tx>
            <c:strRef>
              <c:f>config!$AD$7</c:f>
              <c:strCache>
                <c:ptCount val="1"/>
                <c:pt idx="0">
                  <c:v>Thu 14 Jun</c:v>
                </c:pt>
              </c:strCache>
            </c:strRef>
          </c:tx>
          <c:spPr>
            <a:ln w="12700" cap="rnd">
              <a:solidFill>
                <a:schemeClr val="accent2"/>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'DIR2'!$B$229:$B$324</c:f>
              <c:numCache>
                <c:formatCode>General</c:formatCode>
                <c:ptCount val="96"/>
                <c:pt idx="0">
                  <c:v>0</c:v>
                </c:pt>
                <c:pt idx="1">
                  <c:v>0</c:v>
                </c:pt>
                <c:pt idx="2">
                  <c:v>0</c:v>
                </c:pt>
                <c:pt idx="3">
                  <c:v>0</c:v>
                </c:pt>
                <c:pt idx="4">
                  <c:v>0</c:v>
                </c:pt>
                <c:pt idx="5">
                  <c:v>0</c:v>
                </c:pt>
                <c:pt idx="6">
                  <c:v>0</c:v>
                </c:pt>
                <c:pt idx="7">
                  <c:v>0</c:v>
                </c:pt>
                <c:pt idx="8">
                  <c:v>0</c:v>
                </c:pt>
                <c:pt idx="9">
                  <c:v>2</c:v>
                </c:pt>
                <c:pt idx="10">
                  <c:v>0</c:v>
                </c:pt>
                <c:pt idx="11">
                  <c:v>0</c:v>
                </c:pt>
                <c:pt idx="12">
                  <c:v>0</c:v>
                </c:pt>
                <c:pt idx="13">
                  <c:v>1</c:v>
                </c:pt>
                <c:pt idx="14">
                  <c:v>0</c:v>
                </c:pt>
                <c:pt idx="15">
                  <c:v>0</c:v>
                </c:pt>
                <c:pt idx="16">
                  <c:v>0</c:v>
                </c:pt>
                <c:pt idx="17">
                  <c:v>0</c:v>
                </c:pt>
                <c:pt idx="18">
                  <c:v>0</c:v>
                </c:pt>
                <c:pt idx="19">
                  <c:v>1</c:v>
                </c:pt>
                <c:pt idx="20">
                  <c:v>0</c:v>
                </c:pt>
                <c:pt idx="21">
                  <c:v>2</c:v>
                </c:pt>
                <c:pt idx="22">
                  <c:v>5</c:v>
                </c:pt>
                <c:pt idx="23">
                  <c:v>4</c:v>
                </c:pt>
                <c:pt idx="24">
                  <c:v>5</c:v>
                </c:pt>
                <c:pt idx="25">
                  <c:v>6</c:v>
                </c:pt>
                <c:pt idx="26">
                  <c:v>8</c:v>
                </c:pt>
                <c:pt idx="27">
                  <c:v>17</c:v>
                </c:pt>
                <c:pt idx="28">
                  <c:v>12</c:v>
                </c:pt>
                <c:pt idx="29">
                  <c:v>12</c:v>
                </c:pt>
                <c:pt idx="30">
                  <c:v>28</c:v>
                </c:pt>
                <c:pt idx="31">
                  <c:v>17</c:v>
                </c:pt>
                <c:pt idx="32">
                  <c:v>22</c:v>
                </c:pt>
                <c:pt idx="33">
                  <c:v>20</c:v>
                </c:pt>
                <c:pt idx="34">
                  <c:v>24</c:v>
                </c:pt>
                <c:pt idx="35">
                  <c:v>15</c:v>
                </c:pt>
                <c:pt idx="36">
                  <c:v>12</c:v>
                </c:pt>
                <c:pt idx="37">
                  <c:v>13</c:v>
                </c:pt>
                <c:pt idx="38">
                  <c:v>10</c:v>
                </c:pt>
                <c:pt idx="39">
                  <c:v>18</c:v>
                </c:pt>
                <c:pt idx="40">
                  <c:v>14</c:v>
                </c:pt>
                <c:pt idx="41">
                  <c:v>11</c:v>
                </c:pt>
                <c:pt idx="42">
                  <c:v>9</c:v>
                </c:pt>
                <c:pt idx="43">
                  <c:v>6</c:v>
                </c:pt>
                <c:pt idx="44">
                  <c:v>9</c:v>
                </c:pt>
                <c:pt idx="45">
                  <c:v>14</c:v>
                </c:pt>
                <c:pt idx="46">
                  <c:v>11</c:v>
                </c:pt>
                <c:pt idx="47">
                  <c:v>6</c:v>
                </c:pt>
                <c:pt idx="48">
                  <c:v>11</c:v>
                </c:pt>
                <c:pt idx="49">
                  <c:v>15</c:v>
                </c:pt>
                <c:pt idx="50">
                  <c:v>5</c:v>
                </c:pt>
                <c:pt idx="51">
                  <c:v>7</c:v>
                </c:pt>
                <c:pt idx="52">
                  <c:v>7</c:v>
                </c:pt>
                <c:pt idx="53">
                  <c:v>7</c:v>
                </c:pt>
                <c:pt idx="54">
                  <c:v>5</c:v>
                </c:pt>
                <c:pt idx="55">
                  <c:v>3</c:v>
                </c:pt>
                <c:pt idx="56">
                  <c:v>8</c:v>
                </c:pt>
                <c:pt idx="57">
                  <c:v>7</c:v>
                </c:pt>
                <c:pt idx="58">
                  <c:v>8</c:v>
                </c:pt>
                <c:pt idx="59">
                  <c:v>10</c:v>
                </c:pt>
                <c:pt idx="60">
                  <c:v>19</c:v>
                </c:pt>
                <c:pt idx="61">
                  <c:v>10</c:v>
                </c:pt>
                <c:pt idx="62">
                  <c:v>17</c:v>
                </c:pt>
                <c:pt idx="63">
                  <c:v>18</c:v>
                </c:pt>
                <c:pt idx="64">
                  <c:v>15</c:v>
                </c:pt>
                <c:pt idx="65">
                  <c:v>14</c:v>
                </c:pt>
                <c:pt idx="66">
                  <c:v>17</c:v>
                </c:pt>
                <c:pt idx="67">
                  <c:v>9</c:v>
                </c:pt>
                <c:pt idx="68">
                  <c:v>12</c:v>
                </c:pt>
                <c:pt idx="69">
                  <c:v>11</c:v>
                </c:pt>
                <c:pt idx="70">
                  <c:v>8</c:v>
                </c:pt>
                <c:pt idx="71">
                  <c:v>8</c:v>
                </c:pt>
                <c:pt idx="72">
                  <c:v>10</c:v>
                </c:pt>
                <c:pt idx="73">
                  <c:v>4</c:v>
                </c:pt>
                <c:pt idx="74">
                  <c:v>7</c:v>
                </c:pt>
                <c:pt idx="75">
                  <c:v>5</c:v>
                </c:pt>
                <c:pt idx="76">
                  <c:v>9</c:v>
                </c:pt>
                <c:pt idx="77">
                  <c:v>5</c:v>
                </c:pt>
                <c:pt idx="78">
                  <c:v>5</c:v>
                </c:pt>
                <c:pt idx="79">
                  <c:v>6</c:v>
                </c:pt>
                <c:pt idx="80">
                  <c:v>6</c:v>
                </c:pt>
                <c:pt idx="81">
                  <c:v>6</c:v>
                </c:pt>
                <c:pt idx="82">
                  <c:v>4</c:v>
                </c:pt>
                <c:pt idx="83">
                  <c:v>6</c:v>
                </c:pt>
                <c:pt idx="84">
                  <c:v>3</c:v>
                </c:pt>
                <c:pt idx="85">
                  <c:v>1</c:v>
                </c:pt>
                <c:pt idx="86">
                  <c:v>3</c:v>
                </c:pt>
                <c:pt idx="87">
                  <c:v>4</c:v>
                </c:pt>
                <c:pt idx="88">
                  <c:v>2</c:v>
                </c:pt>
                <c:pt idx="89">
                  <c:v>4</c:v>
                </c:pt>
                <c:pt idx="90">
                  <c:v>3</c:v>
                </c:pt>
                <c:pt idx="91">
                  <c:v>2</c:v>
                </c:pt>
                <c:pt idx="92">
                  <c:v>2</c:v>
                </c:pt>
                <c:pt idx="93">
                  <c:v>1</c:v>
                </c:pt>
                <c:pt idx="94">
                  <c:v>0</c:v>
                </c:pt>
                <c:pt idx="95">
                  <c:v>0</c:v>
                </c:pt>
              </c:numCache>
            </c:numRef>
          </c:val>
          <c:smooth val="0"/>
        </c:ser>
        <c:ser>
          <c:idx val="3"/>
          <c:order val="3"/>
          <c:tx>
            <c:strRef>
              <c:f>config!$AD$8</c:f>
              <c:strCache>
                <c:ptCount val="1"/>
                <c:pt idx="0">
                  <c:v>Fri 15 Jun</c:v>
                </c:pt>
              </c:strCache>
            </c:strRef>
          </c:tx>
          <c:spPr>
            <a:ln w="12700" cap="rnd">
              <a:solidFill>
                <a:schemeClr val="accent2"/>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'DIR2'!$B$336:$B$431</c:f>
              <c:numCache>
                <c:formatCode>General</c:formatCode>
                <c:ptCount val="96"/>
                <c:pt idx="0">
                  <c:v>1</c:v>
                </c:pt>
                <c:pt idx="1">
                  <c:v>2</c:v>
                </c:pt>
                <c:pt idx="2">
                  <c:v>0</c:v>
                </c:pt>
                <c:pt idx="3">
                  <c:v>0</c:v>
                </c:pt>
                <c:pt idx="4">
                  <c:v>1</c:v>
                </c:pt>
                <c:pt idx="5">
                  <c:v>0</c:v>
                </c:pt>
                <c:pt idx="6">
                  <c:v>0</c:v>
                </c:pt>
                <c:pt idx="7">
                  <c:v>0</c:v>
                </c:pt>
                <c:pt idx="8">
                  <c:v>0</c:v>
                </c:pt>
                <c:pt idx="9">
                  <c:v>0</c:v>
                </c:pt>
                <c:pt idx="10">
                  <c:v>0</c:v>
                </c:pt>
                <c:pt idx="11">
                  <c:v>0</c:v>
                </c:pt>
                <c:pt idx="12">
                  <c:v>1</c:v>
                </c:pt>
                <c:pt idx="13">
                  <c:v>0</c:v>
                </c:pt>
                <c:pt idx="14">
                  <c:v>0</c:v>
                </c:pt>
                <c:pt idx="15">
                  <c:v>3</c:v>
                </c:pt>
                <c:pt idx="16">
                  <c:v>0</c:v>
                </c:pt>
                <c:pt idx="17">
                  <c:v>0</c:v>
                </c:pt>
                <c:pt idx="18">
                  <c:v>1</c:v>
                </c:pt>
                <c:pt idx="19">
                  <c:v>1</c:v>
                </c:pt>
                <c:pt idx="20">
                  <c:v>2</c:v>
                </c:pt>
                <c:pt idx="21">
                  <c:v>3</c:v>
                </c:pt>
                <c:pt idx="22">
                  <c:v>4</c:v>
                </c:pt>
                <c:pt idx="23">
                  <c:v>3</c:v>
                </c:pt>
                <c:pt idx="24">
                  <c:v>0</c:v>
                </c:pt>
                <c:pt idx="25">
                  <c:v>3</c:v>
                </c:pt>
                <c:pt idx="26">
                  <c:v>10</c:v>
                </c:pt>
                <c:pt idx="27">
                  <c:v>15</c:v>
                </c:pt>
                <c:pt idx="28">
                  <c:v>10</c:v>
                </c:pt>
                <c:pt idx="29">
                  <c:v>23</c:v>
                </c:pt>
                <c:pt idx="30">
                  <c:v>20</c:v>
                </c:pt>
                <c:pt idx="31">
                  <c:v>34</c:v>
                </c:pt>
                <c:pt idx="32">
                  <c:v>26</c:v>
                </c:pt>
                <c:pt idx="33">
                  <c:v>20</c:v>
                </c:pt>
                <c:pt idx="34">
                  <c:v>34</c:v>
                </c:pt>
                <c:pt idx="35">
                  <c:v>22</c:v>
                </c:pt>
                <c:pt idx="36">
                  <c:v>17</c:v>
                </c:pt>
                <c:pt idx="37">
                  <c:v>14</c:v>
                </c:pt>
                <c:pt idx="38">
                  <c:v>11</c:v>
                </c:pt>
                <c:pt idx="39">
                  <c:v>10</c:v>
                </c:pt>
                <c:pt idx="40">
                  <c:v>14</c:v>
                </c:pt>
                <c:pt idx="41">
                  <c:v>8</c:v>
                </c:pt>
                <c:pt idx="42">
                  <c:v>7</c:v>
                </c:pt>
                <c:pt idx="43">
                  <c:v>7</c:v>
                </c:pt>
                <c:pt idx="44">
                  <c:v>11</c:v>
                </c:pt>
                <c:pt idx="45">
                  <c:v>9</c:v>
                </c:pt>
                <c:pt idx="46">
                  <c:v>8</c:v>
                </c:pt>
                <c:pt idx="47">
                  <c:v>16</c:v>
                </c:pt>
                <c:pt idx="48">
                  <c:v>6</c:v>
                </c:pt>
                <c:pt idx="49">
                  <c:v>8</c:v>
                </c:pt>
                <c:pt idx="50">
                  <c:v>7</c:v>
                </c:pt>
                <c:pt idx="51">
                  <c:v>5</c:v>
                </c:pt>
                <c:pt idx="52">
                  <c:v>14</c:v>
                </c:pt>
                <c:pt idx="53">
                  <c:v>7</c:v>
                </c:pt>
                <c:pt idx="54">
                  <c:v>13</c:v>
                </c:pt>
                <c:pt idx="55">
                  <c:v>13</c:v>
                </c:pt>
                <c:pt idx="56">
                  <c:v>7</c:v>
                </c:pt>
                <c:pt idx="57">
                  <c:v>10</c:v>
                </c:pt>
                <c:pt idx="58">
                  <c:v>12</c:v>
                </c:pt>
                <c:pt idx="59">
                  <c:v>29</c:v>
                </c:pt>
                <c:pt idx="60">
                  <c:v>7</c:v>
                </c:pt>
                <c:pt idx="61">
                  <c:v>6</c:v>
                </c:pt>
                <c:pt idx="62">
                  <c:v>11</c:v>
                </c:pt>
                <c:pt idx="63">
                  <c:v>10</c:v>
                </c:pt>
                <c:pt idx="64">
                  <c:v>18</c:v>
                </c:pt>
                <c:pt idx="65">
                  <c:v>13</c:v>
                </c:pt>
                <c:pt idx="66">
                  <c:v>13</c:v>
                </c:pt>
                <c:pt idx="67">
                  <c:v>11</c:v>
                </c:pt>
                <c:pt idx="68">
                  <c:v>12</c:v>
                </c:pt>
                <c:pt idx="69">
                  <c:v>10</c:v>
                </c:pt>
                <c:pt idx="70">
                  <c:v>12</c:v>
                </c:pt>
                <c:pt idx="71">
                  <c:v>6</c:v>
                </c:pt>
                <c:pt idx="72">
                  <c:v>10</c:v>
                </c:pt>
                <c:pt idx="73">
                  <c:v>14</c:v>
                </c:pt>
                <c:pt idx="74">
                  <c:v>11</c:v>
                </c:pt>
                <c:pt idx="75">
                  <c:v>7</c:v>
                </c:pt>
                <c:pt idx="76">
                  <c:v>12</c:v>
                </c:pt>
                <c:pt idx="77">
                  <c:v>7</c:v>
                </c:pt>
                <c:pt idx="78">
                  <c:v>9</c:v>
                </c:pt>
                <c:pt idx="79">
                  <c:v>4</c:v>
                </c:pt>
                <c:pt idx="80">
                  <c:v>7</c:v>
                </c:pt>
                <c:pt idx="81">
                  <c:v>8</c:v>
                </c:pt>
                <c:pt idx="82">
                  <c:v>4</c:v>
                </c:pt>
                <c:pt idx="83">
                  <c:v>4</c:v>
                </c:pt>
                <c:pt idx="84">
                  <c:v>3</c:v>
                </c:pt>
                <c:pt idx="85">
                  <c:v>2</c:v>
                </c:pt>
                <c:pt idx="86">
                  <c:v>3</c:v>
                </c:pt>
                <c:pt idx="87">
                  <c:v>4</c:v>
                </c:pt>
                <c:pt idx="88">
                  <c:v>2</c:v>
                </c:pt>
                <c:pt idx="89">
                  <c:v>2</c:v>
                </c:pt>
                <c:pt idx="90">
                  <c:v>0</c:v>
                </c:pt>
                <c:pt idx="91">
                  <c:v>1</c:v>
                </c:pt>
                <c:pt idx="92">
                  <c:v>1</c:v>
                </c:pt>
                <c:pt idx="93">
                  <c:v>1</c:v>
                </c:pt>
                <c:pt idx="94">
                  <c:v>0</c:v>
                </c:pt>
                <c:pt idx="95">
                  <c:v>0</c:v>
                </c:pt>
              </c:numCache>
            </c:numRef>
          </c:val>
          <c:smooth val="0"/>
        </c:ser>
        <c:ser>
          <c:idx val="4"/>
          <c:order val="4"/>
          <c:tx>
            <c:strRef>
              <c:f>config!$AD$9</c:f>
              <c:strCache>
                <c:ptCount val="1"/>
                <c:pt idx="0">
                  <c:v>Sat 16 Jun</c:v>
                </c:pt>
              </c:strCache>
            </c:strRef>
          </c:tx>
          <c:spPr>
            <a:ln w="12700" cap="rnd">
              <a:solidFill>
                <a:schemeClr val="accent2"/>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'DIR2'!$B$443:$B$538</c:f>
              <c:numCache>
                <c:formatCode>General</c:formatCode>
                <c:ptCount val="96"/>
                <c:pt idx="0">
                  <c:v>0</c:v>
                </c:pt>
                <c:pt idx="1">
                  <c:v>0</c:v>
                </c:pt>
                <c:pt idx="2">
                  <c:v>0</c:v>
                </c:pt>
                <c:pt idx="3">
                  <c:v>1</c:v>
                </c:pt>
                <c:pt idx="4">
                  <c:v>1</c:v>
                </c:pt>
                <c:pt idx="5">
                  <c:v>1</c:v>
                </c:pt>
                <c:pt idx="6">
                  <c:v>0</c:v>
                </c:pt>
                <c:pt idx="7">
                  <c:v>1</c:v>
                </c:pt>
                <c:pt idx="8">
                  <c:v>2</c:v>
                </c:pt>
                <c:pt idx="9">
                  <c:v>0</c:v>
                </c:pt>
                <c:pt idx="10">
                  <c:v>0</c:v>
                </c:pt>
                <c:pt idx="11">
                  <c:v>0</c:v>
                </c:pt>
                <c:pt idx="12">
                  <c:v>0</c:v>
                </c:pt>
                <c:pt idx="13">
                  <c:v>0</c:v>
                </c:pt>
                <c:pt idx="14">
                  <c:v>0</c:v>
                </c:pt>
                <c:pt idx="15">
                  <c:v>1</c:v>
                </c:pt>
                <c:pt idx="16">
                  <c:v>1</c:v>
                </c:pt>
                <c:pt idx="17">
                  <c:v>0</c:v>
                </c:pt>
                <c:pt idx="18">
                  <c:v>0</c:v>
                </c:pt>
                <c:pt idx="19">
                  <c:v>0</c:v>
                </c:pt>
                <c:pt idx="20">
                  <c:v>0</c:v>
                </c:pt>
                <c:pt idx="21">
                  <c:v>1</c:v>
                </c:pt>
                <c:pt idx="22">
                  <c:v>2</c:v>
                </c:pt>
                <c:pt idx="23">
                  <c:v>1</c:v>
                </c:pt>
                <c:pt idx="24">
                  <c:v>0</c:v>
                </c:pt>
                <c:pt idx="25">
                  <c:v>3</c:v>
                </c:pt>
                <c:pt idx="26">
                  <c:v>1</c:v>
                </c:pt>
                <c:pt idx="27">
                  <c:v>6</c:v>
                </c:pt>
                <c:pt idx="28">
                  <c:v>3</c:v>
                </c:pt>
                <c:pt idx="29">
                  <c:v>3</c:v>
                </c:pt>
                <c:pt idx="30">
                  <c:v>12</c:v>
                </c:pt>
                <c:pt idx="31">
                  <c:v>6</c:v>
                </c:pt>
                <c:pt idx="32">
                  <c:v>6</c:v>
                </c:pt>
                <c:pt idx="33">
                  <c:v>13</c:v>
                </c:pt>
                <c:pt idx="34">
                  <c:v>18</c:v>
                </c:pt>
                <c:pt idx="35">
                  <c:v>24</c:v>
                </c:pt>
                <c:pt idx="36">
                  <c:v>5</c:v>
                </c:pt>
                <c:pt idx="37">
                  <c:v>8</c:v>
                </c:pt>
                <c:pt idx="38">
                  <c:v>9</c:v>
                </c:pt>
                <c:pt idx="39">
                  <c:v>17</c:v>
                </c:pt>
                <c:pt idx="40">
                  <c:v>10</c:v>
                </c:pt>
                <c:pt idx="41">
                  <c:v>7</c:v>
                </c:pt>
                <c:pt idx="42">
                  <c:v>12</c:v>
                </c:pt>
                <c:pt idx="43">
                  <c:v>7</c:v>
                </c:pt>
                <c:pt idx="44">
                  <c:v>10</c:v>
                </c:pt>
                <c:pt idx="45">
                  <c:v>12</c:v>
                </c:pt>
                <c:pt idx="46">
                  <c:v>6</c:v>
                </c:pt>
                <c:pt idx="47">
                  <c:v>9</c:v>
                </c:pt>
                <c:pt idx="48">
                  <c:v>16</c:v>
                </c:pt>
                <c:pt idx="49">
                  <c:v>19</c:v>
                </c:pt>
                <c:pt idx="50">
                  <c:v>10</c:v>
                </c:pt>
                <c:pt idx="51">
                  <c:v>10</c:v>
                </c:pt>
                <c:pt idx="52">
                  <c:v>12</c:v>
                </c:pt>
                <c:pt idx="53">
                  <c:v>3</c:v>
                </c:pt>
                <c:pt idx="54">
                  <c:v>11</c:v>
                </c:pt>
                <c:pt idx="55">
                  <c:v>15</c:v>
                </c:pt>
                <c:pt idx="56">
                  <c:v>7</c:v>
                </c:pt>
                <c:pt idx="57">
                  <c:v>5</c:v>
                </c:pt>
                <c:pt idx="58">
                  <c:v>5</c:v>
                </c:pt>
                <c:pt idx="59">
                  <c:v>10</c:v>
                </c:pt>
                <c:pt idx="60">
                  <c:v>9</c:v>
                </c:pt>
                <c:pt idx="61">
                  <c:v>2</c:v>
                </c:pt>
                <c:pt idx="62">
                  <c:v>4</c:v>
                </c:pt>
                <c:pt idx="63">
                  <c:v>9</c:v>
                </c:pt>
                <c:pt idx="64">
                  <c:v>12</c:v>
                </c:pt>
                <c:pt idx="65">
                  <c:v>6</c:v>
                </c:pt>
                <c:pt idx="66">
                  <c:v>10</c:v>
                </c:pt>
                <c:pt idx="67">
                  <c:v>15</c:v>
                </c:pt>
                <c:pt idx="68">
                  <c:v>6</c:v>
                </c:pt>
                <c:pt idx="69">
                  <c:v>7</c:v>
                </c:pt>
                <c:pt idx="70">
                  <c:v>5</c:v>
                </c:pt>
                <c:pt idx="71">
                  <c:v>3</c:v>
                </c:pt>
                <c:pt idx="72">
                  <c:v>4</c:v>
                </c:pt>
                <c:pt idx="73">
                  <c:v>10</c:v>
                </c:pt>
                <c:pt idx="74">
                  <c:v>10</c:v>
                </c:pt>
                <c:pt idx="75">
                  <c:v>4</c:v>
                </c:pt>
                <c:pt idx="76">
                  <c:v>6</c:v>
                </c:pt>
                <c:pt idx="77">
                  <c:v>6</c:v>
                </c:pt>
                <c:pt idx="78">
                  <c:v>3</c:v>
                </c:pt>
                <c:pt idx="79">
                  <c:v>8</c:v>
                </c:pt>
                <c:pt idx="80">
                  <c:v>1</c:v>
                </c:pt>
                <c:pt idx="81">
                  <c:v>3</c:v>
                </c:pt>
                <c:pt idx="82">
                  <c:v>7</c:v>
                </c:pt>
                <c:pt idx="83">
                  <c:v>3</c:v>
                </c:pt>
                <c:pt idx="84">
                  <c:v>2</c:v>
                </c:pt>
                <c:pt idx="85">
                  <c:v>3</c:v>
                </c:pt>
                <c:pt idx="86">
                  <c:v>6</c:v>
                </c:pt>
                <c:pt idx="87">
                  <c:v>1</c:v>
                </c:pt>
                <c:pt idx="88">
                  <c:v>3</c:v>
                </c:pt>
                <c:pt idx="89">
                  <c:v>4</c:v>
                </c:pt>
                <c:pt idx="90">
                  <c:v>1</c:v>
                </c:pt>
                <c:pt idx="91">
                  <c:v>2</c:v>
                </c:pt>
                <c:pt idx="92">
                  <c:v>2</c:v>
                </c:pt>
                <c:pt idx="93">
                  <c:v>2</c:v>
                </c:pt>
                <c:pt idx="94">
                  <c:v>1</c:v>
                </c:pt>
                <c:pt idx="95">
                  <c:v>1</c:v>
                </c:pt>
              </c:numCache>
            </c:numRef>
          </c:val>
          <c:smooth val="0"/>
        </c:ser>
        <c:ser>
          <c:idx val="5"/>
          <c:order val="5"/>
          <c:tx>
            <c:strRef>
              <c:f>config!$AD$10</c:f>
              <c:strCache>
                <c:ptCount val="1"/>
                <c:pt idx="0">
                  <c:v>Sun 17 Jun</c:v>
                </c:pt>
              </c:strCache>
            </c:strRef>
          </c:tx>
          <c:spPr>
            <a:ln w="12700" cap="rnd">
              <a:solidFill>
                <a:schemeClr val="accent2"/>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'DIR2'!$B$550:$B$645</c:f>
              <c:numCache>
                <c:formatCode>General</c:formatCode>
                <c:ptCount val="96"/>
                <c:pt idx="0">
                  <c:v>1</c:v>
                </c:pt>
                <c:pt idx="1">
                  <c:v>1</c:v>
                </c:pt>
                <c:pt idx="2">
                  <c:v>2</c:v>
                </c:pt>
                <c:pt idx="3">
                  <c:v>0</c:v>
                </c:pt>
                <c:pt idx="4">
                  <c:v>0</c:v>
                </c:pt>
                <c:pt idx="5">
                  <c:v>1</c:v>
                </c:pt>
                <c:pt idx="6">
                  <c:v>0</c:v>
                </c:pt>
                <c:pt idx="7">
                  <c:v>0</c:v>
                </c:pt>
                <c:pt idx="8">
                  <c:v>1</c:v>
                </c:pt>
                <c:pt idx="9">
                  <c:v>2</c:v>
                </c:pt>
                <c:pt idx="10">
                  <c:v>0</c:v>
                </c:pt>
                <c:pt idx="11">
                  <c:v>0</c:v>
                </c:pt>
                <c:pt idx="12">
                  <c:v>0</c:v>
                </c:pt>
                <c:pt idx="13">
                  <c:v>0</c:v>
                </c:pt>
                <c:pt idx="14">
                  <c:v>0</c:v>
                </c:pt>
                <c:pt idx="15">
                  <c:v>0</c:v>
                </c:pt>
                <c:pt idx="16">
                  <c:v>0</c:v>
                </c:pt>
                <c:pt idx="17">
                  <c:v>0</c:v>
                </c:pt>
                <c:pt idx="18">
                  <c:v>1</c:v>
                </c:pt>
                <c:pt idx="19">
                  <c:v>1</c:v>
                </c:pt>
                <c:pt idx="20">
                  <c:v>2</c:v>
                </c:pt>
                <c:pt idx="21">
                  <c:v>2</c:v>
                </c:pt>
                <c:pt idx="22">
                  <c:v>1</c:v>
                </c:pt>
                <c:pt idx="23">
                  <c:v>1</c:v>
                </c:pt>
                <c:pt idx="24">
                  <c:v>1</c:v>
                </c:pt>
                <c:pt idx="25">
                  <c:v>0</c:v>
                </c:pt>
                <c:pt idx="26">
                  <c:v>1</c:v>
                </c:pt>
                <c:pt idx="27">
                  <c:v>2</c:v>
                </c:pt>
                <c:pt idx="28">
                  <c:v>3</c:v>
                </c:pt>
                <c:pt idx="29">
                  <c:v>3</c:v>
                </c:pt>
                <c:pt idx="30">
                  <c:v>2</c:v>
                </c:pt>
                <c:pt idx="31">
                  <c:v>5</c:v>
                </c:pt>
                <c:pt idx="32">
                  <c:v>3</c:v>
                </c:pt>
                <c:pt idx="33">
                  <c:v>7</c:v>
                </c:pt>
                <c:pt idx="34">
                  <c:v>8</c:v>
                </c:pt>
                <c:pt idx="35">
                  <c:v>5</c:v>
                </c:pt>
                <c:pt idx="36">
                  <c:v>6</c:v>
                </c:pt>
                <c:pt idx="37">
                  <c:v>8</c:v>
                </c:pt>
                <c:pt idx="38">
                  <c:v>9</c:v>
                </c:pt>
                <c:pt idx="39">
                  <c:v>14</c:v>
                </c:pt>
                <c:pt idx="40">
                  <c:v>4</c:v>
                </c:pt>
                <c:pt idx="41">
                  <c:v>8</c:v>
                </c:pt>
                <c:pt idx="42">
                  <c:v>15</c:v>
                </c:pt>
                <c:pt idx="43">
                  <c:v>14</c:v>
                </c:pt>
                <c:pt idx="44">
                  <c:v>11</c:v>
                </c:pt>
                <c:pt idx="45">
                  <c:v>8</c:v>
                </c:pt>
                <c:pt idx="46">
                  <c:v>10</c:v>
                </c:pt>
                <c:pt idx="47">
                  <c:v>8</c:v>
                </c:pt>
                <c:pt idx="48">
                  <c:v>13</c:v>
                </c:pt>
                <c:pt idx="49">
                  <c:v>10</c:v>
                </c:pt>
                <c:pt idx="50">
                  <c:v>14</c:v>
                </c:pt>
                <c:pt idx="51">
                  <c:v>5</c:v>
                </c:pt>
                <c:pt idx="52">
                  <c:v>7</c:v>
                </c:pt>
                <c:pt idx="53">
                  <c:v>9</c:v>
                </c:pt>
                <c:pt idx="54">
                  <c:v>9</c:v>
                </c:pt>
                <c:pt idx="55">
                  <c:v>11</c:v>
                </c:pt>
                <c:pt idx="56">
                  <c:v>10</c:v>
                </c:pt>
                <c:pt idx="57">
                  <c:v>7</c:v>
                </c:pt>
                <c:pt idx="58">
                  <c:v>8</c:v>
                </c:pt>
                <c:pt idx="59">
                  <c:v>9</c:v>
                </c:pt>
                <c:pt idx="60">
                  <c:v>8</c:v>
                </c:pt>
                <c:pt idx="61">
                  <c:v>16</c:v>
                </c:pt>
                <c:pt idx="62">
                  <c:v>4</c:v>
                </c:pt>
                <c:pt idx="63">
                  <c:v>13</c:v>
                </c:pt>
                <c:pt idx="64">
                  <c:v>18</c:v>
                </c:pt>
                <c:pt idx="65">
                  <c:v>9</c:v>
                </c:pt>
                <c:pt idx="66">
                  <c:v>15</c:v>
                </c:pt>
                <c:pt idx="67">
                  <c:v>15</c:v>
                </c:pt>
                <c:pt idx="68">
                  <c:v>9</c:v>
                </c:pt>
                <c:pt idx="69">
                  <c:v>15</c:v>
                </c:pt>
                <c:pt idx="70">
                  <c:v>10</c:v>
                </c:pt>
                <c:pt idx="71">
                  <c:v>9</c:v>
                </c:pt>
                <c:pt idx="72">
                  <c:v>10</c:v>
                </c:pt>
                <c:pt idx="73">
                  <c:v>8</c:v>
                </c:pt>
                <c:pt idx="74">
                  <c:v>13</c:v>
                </c:pt>
                <c:pt idx="75">
                  <c:v>4</c:v>
                </c:pt>
                <c:pt idx="76">
                  <c:v>3</c:v>
                </c:pt>
                <c:pt idx="77">
                  <c:v>4</c:v>
                </c:pt>
                <c:pt idx="78">
                  <c:v>3</c:v>
                </c:pt>
                <c:pt idx="79">
                  <c:v>7</c:v>
                </c:pt>
                <c:pt idx="80">
                  <c:v>7</c:v>
                </c:pt>
                <c:pt idx="81">
                  <c:v>4</c:v>
                </c:pt>
                <c:pt idx="82">
                  <c:v>2</c:v>
                </c:pt>
                <c:pt idx="83">
                  <c:v>5</c:v>
                </c:pt>
                <c:pt idx="84">
                  <c:v>1</c:v>
                </c:pt>
                <c:pt idx="85">
                  <c:v>6</c:v>
                </c:pt>
                <c:pt idx="86">
                  <c:v>4</c:v>
                </c:pt>
                <c:pt idx="87">
                  <c:v>1</c:v>
                </c:pt>
                <c:pt idx="88">
                  <c:v>0</c:v>
                </c:pt>
                <c:pt idx="89">
                  <c:v>3</c:v>
                </c:pt>
                <c:pt idx="90">
                  <c:v>3</c:v>
                </c:pt>
                <c:pt idx="91">
                  <c:v>1</c:v>
                </c:pt>
                <c:pt idx="92">
                  <c:v>1</c:v>
                </c:pt>
                <c:pt idx="93">
                  <c:v>0</c:v>
                </c:pt>
                <c:pt idx="94">
                  <c:v>0</c:v>
                </c:pt>
                <c:pt idx="95">
                  <c:v>0</c:v>
                </c:pt>
              </c:numCache>
            </c:numRef>
          </c:val>
          <c:smooth val="0"/>
        </c:ser>
        <c:ser>
          <c:idx val="6"/>
          <c:order val="6"/>
          <c:tx>
            <c:strRef>
              <c:f>config!$AD$11</c:f>
              <c:strCache>
                <c:ptCount val="1"/>
                <c:pt idx="0">
                  <c:v>Mon 18 Jun</c:v>
                </c:pt>
              </c:strCache>
            </c:strRef>
          </c:tx>
          <c:spPr>
            <a:ln w="12700" cap="rnd">
              <a:solidFill>
                <a:schemeClr val="accent2"/>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'DIR2'!$B$657:$B$752</c:f>
              <c:numCache>
                <c:formatCode>General</c:formatCode>
                <c:ptCount val="96"/>
                <c:pt idx="0">
                  <c:v>0</c:v>
                </c:pt>
                <c:pt idx="1">
                  <c:v>0</c:v>
                </c:pt>
                <c:pt idx="2">
                  <c:v>0</c:v>
                </c:pt>
                <c:pt idx="3">
                  <c:v>0</c:v>
                </c:pt>
                <c:pt idx="4">
                  <c:v>1</c:v>
                </c:pt>
                <c:pt idx="5">
                  <c:v>0</c:v>
                </c:pt>
                <c:pt idx="6">
                  <c:v>0</c:v>
                </c:pt>
                <c:pt idx="7">
                  <c:v>0</c:v>
                </c:pt>
                <c:pt idx="8">
                  <c:v>0</c:v>
                </c:pt>
                <c:pt idx="9">
                  <c:v>0</c:v>
                </c:pt>
                <c:pt idx="10">
                  <c:v>0</c:v>
                </c:pt>
                <c:pt idx="11">
                  <c:v>0</c:v>
                </c:pt>
                <c:pt idx="12">
                  <c:v>1</c:v>
                </c:pt>
                <c:pt idx="13">
                  <c:v>0</c:v>
                </c:pt>
                <c:pt idx="14">
                  <c:v>1</c:v>
                </c:pt>
                <c:pt idx="15">
                  <c:v>0</c:v>
                </c:pt>
                <c:pt idx="16">
                  <c:v>0</c:v>
                </c:pt>
                <c:pt idx="17">
                  <c:v>1</c:v>
                </c:pt>
                <c:pt idx="18">
                  <c:v>0</c:v>
                </c:pt>
                <c:pt idx="19">
                  <c:v>0</c:v>
                </c:pt>
                <c:pt idx="20">
                  <c:v>2</c:v>
                </c:pt>
                <c:pt idx="21">
                  <c:v>2</c:v>
                </c:pt>
                <c:pt idx="22">
                  <c:v>4</c:v>
                </c:pt>
                <c:pt idx="23">
                  <c:v>1</c:v>
                </c:pt>
                <c:pt idx="24">
                  <c:v>3</c:v>
                </c:pt>
                <c:pt idx="25">
                  <c:v>6</c:v>
                </c:pt>
                <c:pt idx="26">
                  <c:v>9</c:v>
                </c:pt>
                <c:pt idx="27">
                  <c:v>9</c:v>
                </c:pt>
                <c:pt idx="28">
                  <c:v>17</c:v>
                </c:pt>
                <c:pt idx="29">
                  <c:v>14</c:v>
                </c:pt>
                <c:pt idx="30">
                  <c:v>18</c:v>
                </c:pt>
                <c:pt idx="31">
                  <c:v>22</c:v>
                </c:pt>
                <c:pt idx="32">
                  <c:v>19</c:v>
                </c:pt>
                <c:pt idx="33">
                  <c:v>30</c:v>
                </c:pt>
                <c:pt idx="34">
                  <c:v>20</c:v>
                </c:pt>
                <c:pt idx="35">
                  <c:v>22</c:v>
                </c:pt>
                <c:pt idx="36">
                  <c:v>12</c:v>
                </c:pt>
                <c:pt idx="37">
                  <c:v>11</c:v>
                </c:pt>
                <c:pt idx="38">
                  <c:v>11</c:v>
                </c:pt>
                <c:pt idx="39">
                  <c:v>16</c:v>
                </c:pt>
                <c:pt idx="40">
                  <c:v>11</c:v>
                </c:pt>
                <c:pt idx="41">
                  <c:v>12</c:v>
                </c:pt>
                <c:pt idx="42">
                  <c:v>7</c:v>
                </c:pt>
                <c:pt idx="43">
                  <c:v>10</c:v>
                </c:pt>
                <c:pt idx="44">
                  <c:v>11</c:v>
                </c:pt>
                <c:pt idx="45">
                  <c:v>12</c:v>
                </c:pt>
                <c:pt idx="46">
                  <c:v>12</c:v>
                </c:pt>
                <c:pt idx="47">
                  <c:v>6</c:v>
                </c:pt>
                <c:pt idx="48">
                  <c:v>10</c:v>
                </c:pt>
                <c:pt idx="49">
                  <c:v>8</c:v>
                </c:pt>
                <c:pt idx="50">
                  <c:v>4</c:v>
                </c:pt>
                <c:pt idx="51">
                  <c:v>9</c:v>
                </c:pt>
                <c:pt idx="52">
                  <c:v>5</c:v>
                </c:pt>
                <c:pt idx="53">
                  <c:v>7</c:v>
                </c:pt>
                <c:pt idx="54">
                  <c:v>9</c:v>
                </c:pt>
                <c:pt idx="55">
                  <c:v>9</c:v>
                </c:pt>
                <c:pt idx="56">
                  <c:v>12</c:v>
                </c:pt>
                <c:pt idx="57">
                  <c:v>8</c:v>
                </c:pt>
                <c:pt idx="58">
                  <c:v>10</c:v>
                </c:pt>
                <c:pt idx="59">
                  <c:v>9</c:v>
                </c:pt>
                <c:pt idx="60">
                  <c:v>10</c:v>
                </c:pt>
                <c:pt idx="61">
                  <c:v>4</c:v>
                </c:pt>
                <c:pt idx="62">
                  <c:v>10</c:v>
                </c:pt>
                <c:pt idx="63">
                  <c:v>13</c:v>
                </c:pt>
                <c:pt idx="64">
                  <c:v>17</c:v>
                </c:pt>
                <c:pt idx="65">
                  <c:v>12</c:v>
                </c:pt>
                <c:pt idx="66">
                  <c:v>9</c:v>
                </c:pt>
                <c:pt idx="67">
                  <c:v>10</c:v>
                </c:pt>
                <c:pt idx="68">
                  <c:v>15</c:v>
                </c:pt>
                <c:pt idx="69">
                  <c:v>10</c:v>
                </c:pt>
                <c:pt idx="70">
                  <c:v>15</c:v>
                </c:pt>
                <c:pt idx="71">
                  <c:v>12</c:v>
                </c:pt>
                <c:pt idx="72">
                  <c:v>7</c:v>
                </c:pt>
                <c:pt idx="73">
                  <c:v>7</c:v>
                </c:pt>
                <c:pt idx="74">
                  <c:v>10</c:v>
                </c:pt>
                <c:pt idx="75">
                  <c:v>5</c:v>
                </c:pt>
                <c:pt idx="76">
                  <c:v>10</c:v>
                </c:pt>
                <c:pt idx="77">
                  <c:v>6</c:v>
                </c:pt>
                <c:pt idx="78">
                  <c:v>5</c:v>
                </c:pt>
                <c:pt idx="79">
                  <c:v>6</c:v>
                </c:pt>
                <c:pt idx="80">
                  <c:v>7</c:v>
                </c:pt>
                <c:pt idx="81">
                  <c:v>4</c:v>
                </c:pt>
                <c:pt idx="82">
                  <c:v>3</c:v>
                </c:pt>
                <c:pt idx="83">
                  <c:v>1</c:v>
                </c:pt>
                <c:pt idx="84">
                  <c:v>2</c:v>
                </c:pt>
                <c:pt idx="85">
                  <c:v>4</c:v>
                </c:pt>
                <c:pt idx="86">
                  <c:v>0</c:v>
                </c:pt>
                <c:pt idx="87">
                  <c:v>3</c:v>
                </c:pt>
                <c:pt idx="88">
                  <c:v>2</c:v>
                </c:pt>
                <c:pt idx="89">
                  <c:v>1</c:v>
                </c:pt>
                <c:pt idx="90">
                  <c:v>6</c:v>
                </c:pt>
                <c:pt idx="91">
                  <c:v>0</c:v>
                </c:pt>
                <c:pt idx="92">
                  <c:v>1</c:v>
                </c:pt>
                <c:pt idx="93">
                  <c:v>1</c:v>
                </c:pt>
                <c:pt idx="94">
                  <c:v>2</c:v>
                </c:pt>
                <c:pt idx="95">
                  <c:v>0</c:v>
                </c:pt>
              </c:numCache>
            </c:numRef>
          </c:val>
          <c:smooth val="0"/>
        </c:ser>
        <c:dLbls>
          <c:showLegendKey val="0"/>
          <c:showVal val="0"/>
          <c:showCatName val="0"/>
          <c:showSerName val="0"/>
          <c:showPercent val="0"/>
          <c:showBubbleSize val="0"/>
        </c:dLbls>
        <c:marker val="1"/>
        <c:smooth val="0"/>
        <c:axId val="-2026231392"/>
        <c:axId val="-2026229216"/>
      </c:lineChart>
      <c:lineChart>
        <c:grouping val="standard"/>
        <c:varyColors val="0"/>
        <c:ser>
          <c:idx val="7"/>
          <c:order val="7"/>
          <c:tx>
            <c:strRef>
              <c:f>'DIR2'!$CA$10</c:f>
              <c:strCache>
                <c:ptCount val="1"/>
                <c:pt idx="0">
                  <c:v>85%</c:v>
                </c:pt>
              </c:strCache>
            </c:strRef>
          </c:tx>
          <c:spPr>
            <a:ln w="25400" cap="rnd">
              <a:solidFill>
                <a:schemeClr val="tx1"/>
              </a:solidFill>
              <a:prstDash val="sysDash"/>
              <a:round/>
            </a:ln>
            <a:effectLst/>
          </c:spPr>
          <c:marker>
            <c:symbol val="none"/>
          </c:marker>
          <c:cat>
            <c:strRef>
              <c:f>'DIR2'!$A$15:$A$110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'DIR2'!$CA$11:$CA$106</c:f>
              <c:numCache>
                <c:formatCode>0.0</c:formatCode>
                <c:ptCount val="9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51.8</c:v>
                </c:pt>
                <c:pt idx="27">
                  <c:v>49.5</c:v>
                </c:pt>
                <c:pt idx="28">
                  <c:v>51.074999999999996</c:v>
                </c:pt>
                <c:pt idx="29">
                  <c:v>49.86</c:v>
                </c:pt>
                <c:pt idx="30">
                  <c:v>53.06666666666667</c:v>
                </c:pt>
                <c:pt idx="31">
                  <c:v>48.7</c:v>
                </c:pt>
                <c:pt idx="32">
                  <c:v>47.220000000000006</c:v>
                </c:pt>
                <c:pt idx="33">
                  <c:v>48.416666666666664</c:v>
                </c:pt>
                <c:pt idx="34">
                  <c:v>47.133333333333333</c:v>
                </c:pt>
                <c:pt idx="35">
                  <c:v>46.31666666666667</c:v>
                </c:pt>
                <c:pt idx="36">
                  <c:v>48.42</c:v>
                </c:pt>
                <c:pt idx="37">
                  <c:v>45.839999999999996</c:v>
                </c:pt>
                <c:pt idx="38">
                  <c:v>45.949999999999996</c:v>
                </c:pt>
                <c:pt idx="39">
                  <c:v>43.933333333333337</c:v>
                </c:pt>
                <c:pt idx="40">
                  <c:v>45.18</c:v>
                </c:pt>
                <c:pt idx="41">
                  <c:v>47.95</c:v>
                </c:pt>
                <c:pt idx="42">
                  <c:v>48.825000000000003</c:v>
                </c:pt>
                <c:pt idx="43">
                  <c:v>49.9</c:v>
                </c:pt>
                <c:pt idx="44">
                  <c:v>47.125</c:v>
                </c:pt>
                <c:pt idx="45">
                  <c:v>46.199999999999996</c:v>
                </c:pt>
                <c:pt idx="46">
                  <c:v>49.566666666666663</c:v>
                </c:pt>
                <c:pt idx="47">
                  <c:v>45.35</c:v>
                </c:pt>
                <c:pt idx="48">
                  <c:v>43.900000000000006</c:v>
                </c:pt>
                <c:pt idx="49">
                  <c:v>42.75</c:v>
                </c:pt>
                <c:pt idx="50">
                  <c:v>39.6</c:v>
                </c:pt>
                <c:pt idx="51">
                  <c:v>#N/A</c:v>
                </c:pt>
                <c:pt idx="52">
                  <c:v>44.95</c:v>
                </c:pt>
                <c:pt idx="53">
                  <c:v>#N/A</c:v>
                </c:pt>
                <c:pt idx="54">
                  <c:v>46.25</c:v>
                </c:pt>
                <c:pt idx="55">
                  <c:v>45.366666666666667</c:v>
                </c:pt>
                <c:pt idx="56">
                  <c:v>48.75</c:v>
                </c:pt>
                <c:pt idx="57">
                  <c:v>50.1</c:v>
                </c:pt>
                <c:pt idx="58">
                  <c:v>40</c:v>
                </c:pt>
                <c:pt idx="59">
                  <c:v>47.7</c:v>
                </c:pt>
                <c:pt idx="60">
                  <c:v>47.666666666666664</c:v>
                </c:pt>
                <c:pt idx="61">
                  <c:v>46.15</c:v>
                </c:pt>
                <c:pt idx="62">
                  <c:v>48.574999999999996</c:v>
                </c:pt>
                <c:pt idx="63">
                  <c:v>50.033333333333331</c:v>
                </c:pt>
                <c:pt idx="64">
                  <c:v>44.220000000000006</c:v>
                </c:pt>
                <c:pt idx="65">
                  <c:v>44.58</c:v>
                </c:pt>
                <c:pt idx="66">
                  <c:v>48.15</c:v>
                </c:pt>
                <c:pt idx="67">
                  <c:v>48.6</c:v>
                </c:pt>
                <c:pt idx="68">
                  <c:v>50.11999999999999</c:v>
                </c:pt>
                <c:pt idx="69">
                  <c:v>46.066666666666663</c:v>
                </c:pt>
                <c:pt idx="70">
                  <c:v>48.933333333333337</c:v>
                </c:pt>
                <c:pt idx="71">
                  <c:v>45.2</c:v>
                </c:pt>
                <c:pt idx="72">
                  <c:v>48.599999999999994</c:v>
                </c:pt>
                <c:pt idx="73">
                  <c:v>50.3</c:v>
                </c:pt>
                <c:pt idx="74">
                  <c:v>47.85</c:v>
                </c:pt>
                <c:pt idx="75">
                  <c:v>#N/A</c:v>
                </c:pt>
                <c:pt idx="76">
                  <c:v>49.9</c:v>
                </c:pt>
                <c:pt idx="77">
                  <c:v>47</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numCache>
            </c:numRef>
          </c:val>
          <c:smooth val="0"/>
        </c:ser>
        <c:ser>
          <c:idx val="8"/>
          <c:order val="8"/>
          <c:tx>
            <c:strRef>
              <c:f>'DIR2'!$CB$10</c:f>
              <c:strCache>
                <c:ptCount val="1"/>
                <c:pt idx="0">
                  <c:v>PSL</c:v>
                </c:pt>
              </c:strCache>
            </c:strRef>
          </c:tx>
          <c:spPr>
            <a:ln w="25400" cap="rnd">
              <a:solidFill>
                <a:srgbClr val="C00000"/>
              </a:solidFill>
              <a:prstDash val="sysDash"/>
              <a:round/>
            </a:ln>
            <a:effectLst/>
          </c:spPr>
          <c:marker>
            <c:symbol val="none"/>
          </c:marker>
          <c:cat>
            <c:strRef>
              <c:f>'DIR2'!$A$15:$A$110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'DIR2'!$CB$11:$CB$106</c:f>
              <c:numCache>
                <c:formatCode>General</c:formatCode>
                <c:ptCount val="96"/>
                <c:pt idx="0">
                  <c:v>60</c:v>
                </c:pt>
                <c:pt idx="1">
                  <c:v>60</c:v>
                </c:pt>
                <c:pt idx="2">
                  <c:v>60</c:v>
                </c:pt>
                <c:pt idx="3">
                  <c:v>60</c:v>
                </c:pt>
                <c:pt idx="4">
                  <c:v>60</c:v>
                </c:pt>
                <c:pt idx="5">
                  <c:v>60</c:v>
                </c:pt>
                <c:pt idx="6">
                  <c:v>60</c:v>
                </c:pt>
                <c:pt idx="7">
                  <c:v>60</c:v>
                </c:pt>
                <c:pt idx="8">
                  <c:v>60</c:v>
                </c:pt>
                <c:pt idx="9">
                  <c:v>60</c:v>
                </c:pt>
                <c:pt idx="10">
                  <c:v>60</c:v>
                </c:pt>
                <c:pt idx="11">
                  <c:v>60</c:v>
                </c:pt>
                <c:pt idx="12">
                  <c:v>60</c:v>
                </c:pt>
                <c:pt idx="13">
                  <c:v>60</c:v>
                </c:pt>
                <c:pt idx="14">
                  <c:v>60</c:v>
                </c:pt>
                <c:pt idx="15">
                  <c:v>60</c:v>
                </c:pt>
                <c:pt idx="16">
                  <c:v>60</c:v>
                </c:pt>
                <c:pt idx="17">
                  <c:v>60</c:v>
                </c:pt>
                <c:pt idx="18">
                  <c:v>60</c:v>
                </c:pt>
                <c:pt idx="19">
                  <c:v>60</c:v>
                </c:pt>
                <c:pt idx="20">
                  <c:v>60</c:v>
                </c:pt>
                <c:pt idx="21">
                  <c:v>60</c:v>
                </c:pt>
                <c:pt idx="22">
                  <c:v>60</c:v>
                </c:pt>
                <c:pt idx="23">
                  <c:v>60</c:v>
                </c:pt>
                <c:pt idx="24">
                  <c:v>60</c:v>
                </c:pt>
                <c:pt idx="25">
                  <c:v>60</c:v>
                </c:pt>
                <c:pt idx="26">
                  <c:v>60</c:v>
                </c:pt>
                <c:pt idx="27">
                  <c:v>60</c:v>
                </c:pt>
                <c:pt idx="28">
                  <c:v>60</c:v>
                </c:pt>
                <c:pt idx="29">
                  <c:v>60</c:v>
                </c:pt>
                <c:pt idx="30">
                  <c:v>60</c:v>
                </c:pt>
                <c:pt idx="31">
                  <c:v>60</c:v>
                </c:pt>
                <c:pt idx="32">
                  <c:v>60</c:v>
                </c:pt>
                <c:pt idx="33">
                  <c:v>60</c:v>
                </c:pt>
                <c:pt idx="34">
                  <c:v>60</c:v>
                </c:pt>
                <c:pt idx="35">
                  <c:v>60</c:v>
                </c:pt>
                <c:pt idx="36">
                  <c:v>60</c:v>
                </c:pt>
                <c:pt idx="37">
                  <c:v>60</c:v>
                </c:pt>
                <c:pt idx="38">
                  <c:v>60</c:v>
                </c:pt>
                <c:pt idx="39">
                  <c:v>60</c:v>
                </c:pt>
                <c:pt idx="40">
                  <c:v>60</c:v>
                </c:pt>
                <c:pt idx="41">
                  <c:v>60</c:v>
                </c:pt>
                <c:pt idx="42">
                  <c:v>60</c:v>
                </c:pt>
                <c:pt idx="43">
                  <c:v>60</c:v>
                </c:pt>
                <c:pt idx="44">
                  <c:v>60</c:v>
                </c:pt>
                <c:pt idx="45">
                  <c:v>60</c:v>
                </c:pt>
                <c:pt idx="46">
                  <c:v>60</c:v>
                </c:pt>
                <c:pt idx="47">
                  <c:v>60</c:v>
                </c:pt>
                <c:pt idx="48">
                  <c:v>60</c:v>
                </c:pt>
                <c:pt idx="49">
                  <c:v>60</c:v>
                </c:pt>
                <c:pt idx="50">
                  <c:v>60</c:v>
                </c:pt>
                <c:pt idx="51">
                  <c:v>60</c:v>
                </c:pt>
                <c:pt idx="52">
                  <c:v>60</c:v>
                </c:pt>
                <c:pt idx="53">
                  <c:v>60</c:v>
                </c:pt>
                <c:pt idx="54">
                  <c:v>60</c:v>
                </c:pt>
                <c:pt idx="55">
                  <c:v>60</c:v>
                </c:pt>
                <c:pt idx="56">
                  <c:v>60</c:v>
                </c:pt>
                <c:pt idx="57">
                  <c:v>60</c:v>
                </c:pt>
                <c:pt idx="58">
                  <c:v>60</c:v>
                </c:pt>
                <c:pt idx="59">
                  <c:v>60</c:v>
                </c:pt>
                <c:pt idx="60">
                  <c:v>60</c:v>
                </c:pt>
                <c:pt idx="61">
                  <c:v>60</c:v>
                </c:pt>
                <c:pt idx="62">
                  <c:v>60</c:v>
                </c:pt>
                <c:pt idx="63">
                  <c:v>60</c:v>
                </c:pt>
                <c:pt idx="64">
                  <c:v>60</c:v>
                </c:pt>
                <c:pt idx="65">
                  <c:v>60</c:v>
                </c:pt>
                <c:pt idx="66">
                  <c:v>60</c:v>
                </c:pt>
                <c:pt idx="67">
                  <c:v>60</c:v>
                </c:pt>
                <c:pt idx="68">
                  <c:v>60</c:v>
                </c:pt>
                <c:pt idx="69">
                  <c:v>60</c:v>
                </c:pt>
                <c:pt idx="70">
                  <c:v>60</c:v>
                </c:pt>
                <c:pt idx="71">
                  <c:v>60</c:v>
                </c:pt>
                <c:pt idx="72">
                  <c:v>60</c:v>
                </c:pt>
                <c:pt idx="73">
                  <c:v>60</c:v>
                </c:pt>
                <c:pt idx="74">
                  <c:v>60</c:v>
                </c:pt>
                <c:pt idx="75">
                  <c:v>60</c:v>
                </c:pt>
                <c:pt idx="76">
                  <c:v>60</c:v>
                </c:pt>
                <c:pt idx="77">
                  <c:v>60</c:v>
                </c:pt>
                <c:pt idx="78">
                  <c:v>60</c:v>
                </c:pt>
                <c:pt idx="79">
                  <c:v>60</c:v>
                </c:pt>
                <c:pt idx="80">
                  <c:v>60</c:v>
                </c:pt>
                <c:pt idx="81">
                  <c:v>60</c:v>
                </c:pt>
                <c:pt idx="82">
                  <c:v>60</c:v>
                </c:pt>
                <c:pt idx="83">
                  <c:v>60</c:v>
                </c:pt>
                <c:pt idx="84">
                  <c:v>60</c:v>
                </c:pt>
                <c:pt idx="85">
                  <c:v>60</c:v>
                </c:pt>
                <c:pt idx="86">
                  <c:v>60</c:v>
                </c:pt>
                <c:pt idx="87">
                  <c:v>60</c:v>
                </c:pt>
                <c:pt idx="88">
                  <c:v>60</c:v>
                </c:pt>
                <c:pt idx="89">
                  <c:v>60</c:v>
                </c:pt>
                <c:pt idx="90">
                  <c:v>60</c:v>
                </c:pt>
                <c:pt idx="91">
                  <c:v>60</c:v>
                </c:pt>
                <c:pt idx="92">
                  <c:v>60</c:v>
                </c:pt>
                <c:pt idx="93">
                  <c:v>60</c:v>
                </c:pt>
                <c:pt idx="94">
                  <c:v>60</c:v>
                </c:pt>
                <c:pt idx="95">
                  <c:v>60</c:v>
                </c:pt>
              </c:numCache>
            </c:numRef>
          </c:val>
          <c:smooth val="0"/>
        </c:ser>
        <c:ser>
          <c:idx val="9"/>
          <c:order val="9"/>
          <c:tx>
            <c:strRef>
              <c:f>'DIR2'!$BZ$10</c:f>
              <c:strCache>
                <c:ptCount val="1"/>
                <c:pt idx="0">
                  <c:v>AVG SPD</c:v>
                </c:pt>
              </c:strCache>
            </c:strRef>
          </c:tx>
          <c:spPr>
            <a:ln w="25400" cap="rnd">
              <a:solidFill>
                <a:srgbClr val="C00000"/>
              </a:solidFill>
              <a:round/>
            </a:ln>
            <a:effectLst/>
          </c:spPr>
          <c:marker>
            <c:symbol val="none"/>
          </c:marker>
          <c:cat>
            <c:strRef>
              <c:f>'DIR2'!$A$15:$A$110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'DIR2'!$BZ$11:$BZ$106</c:f>
              <c:numCache>
                <c:formatCode>0.0</c:formatCode>
                <c:ptCount val="96"/>
                <c:pt idx="0">
                  <c:v>49.7</c:v>
                </c:pt>
                <c:pt idx="1">
                  <c:v>45.4</c:v>
                </c:pt>
                <c:pt idx="2">
                  <c:v>43.3</c:v>
                </c:pt>
                <c:pt idx="3">
                  <c:v>33.75</c:v>
                </c:pt>
                <c:pt idx="4">
                  <c:v>43.233333333333327</c:v>
                </c:pt>
                <c:pt idx="5">
                  <c:v>44.05</c:v>
                </c:pt>
                <c:pt idx="6">
                  <c:v>#N/A</c:v>
                </c:pt>
                <c:pt idx="7">
                  <c:v>36</c:v>
                </c:pt>
                <c:pt idx="8">
                  <c:v>28.55</c:v>
                </c:pt>
                <c:pt idx="9">
                  <c:v>33</c:v>
                </c:pt>
                <c:pt idx="10">
                  <c:v>#N/A</c:v>
                </c:pt>
                <c:pt idx="11">
                  <c:v>#N/A</c:v>
                </c:pt>
                <c:pt idx="12">
                  <c:v>50.85</c:v>
                </c:pt>
                <c:pt idx="13">
                  <c:v>42.1</c:v>
                </c:pt>
                <c:pt idx="14">
                  <c:v>44.4</c:v>
                </c:pt>
                <c:pt idx="15">
                  <c:v>40.6</c:v>
                </c:pt>
                <c:pt idx="16">
                  <c:v>37.200000000000003</c:v>
                </c:pt>
                <c:pt idx="17">
                  <c:v>49.2</c:v>
                </c:pt>
                <c:pt idx="18">
                  <c:v>41.45</c:v>
                </c:pt>
                <c:pt idx="19">
                  <c:v>48.025000000000006</c:v>
                </c:pt>
                <c:pt idx="20">
                  <c:v>43.9</c:v>
                </c:pt>
                <c:pt idx="21">
                  <c:v>43.51428571428572</c:v>
                </c:pt>
                <c:pt idx="22">
                  <c:v>47.128571428571426</c:v>
                </c:pt>
                <c:pt idx="23">
                  <c:v>48</c:v>
                </c:pt>
                <c:pt idx="24">
                  <c:v>43.480000000000004</c:v>
                </c:pt>
                <c:pt idx="25">
                  <c:v>43.199999999999996</c:v>
                </c:pt>
                <c:pt idx="26">
                  <c:v>44.01428571428572</c:v>
                </c:pt>
                <c:pt idx="27">
                  <c:v>43.714285714285715</c:v>
                </c:pt>
                <c:pt idx="28">
                  <c:v>44.414285714285711</c:v>
                </c:pt>
                <c:pt idx="29">
                  <c:v>42.800000000000004</c:v>
                </c:pt>
                <c:pt idx="30">
                  <c:v>43.371428571428567</c:v>
                </c:pt>
                <c:pt idx="31">
                  <c:v>42.285714285714285</c:v>
                </c:pt>
                <c:pt idx="32">
                  <c:v>42.4</c:v>
                </c:pt>
                <c:pt idx="33">
                  <c:v>41.171428571428571</c:v>
                </c:pt>
                <c:pt idx="34">
                  <c:v>39.6</c:v>
                </c:pt>
                <c:pt idx="35">
                  <c:v>39</c:v>
                </c:pt>
                <c:pt idx="36">
                  <c:v>41.285714285714285</c:v>
                </c:pt>
                <c:pt idx="37">
                  <c:v>38.557142857142864</c:v>
                </c:pt>
                <c:pt idx="38">
                  <c:v>39.48571428571428</c:v>
                </c:pt>
                <c:pt idx="39">
                  <c:v>36.285714285714292</c:v>
                </c:pt>
                <c:pt idx="40">
                  <c:v>37.171428571428578</c:v>
                </c:pt>
                <c:pt idx="41">
                  <c:v>37.671428571428571</c:v>
                </c:pt>
                <c:pt idx="42">
                  <c:v>37.842857142857149</c:v>
                </c:pt>
                <c:pt idx="43">
                  <c:v>38.785714285714285</c:v>
                </c:pt>
                <c:pt idx="44">
                  <c:v>37.614285714285714</c:v>
                </c:pt>
                <c:pt idx="45">
                  <c:v>37.985714285714288</c:v>
                </c:pt>
                <c:pt idx="46">
                  <c:v>37.31428571428571</c:v>
                </c:pt>
                <c:pt idx="47">
                  <c:v>37.928571428571431</c:v>
                </c:pt>
                <c:pt idx="48">
                  <c:v>37.285714285714285</c:v>
                </c:pt>
                <c:pt idx="49">
                  <c:v>36.171428571428571</c:v>
                </c:pt>
                <c:pt idx="50">
                  <c:v>40.271428571428565</c:v>
                </c:pt>
                <c:pt idx="51">
                  <c:v>37.642857142857146</c:v>
                </c:pt>
                <c:pt idx="52">
                  <c:v>37.142857142857146</c:v>
                </c:pt>
                <c:pt idx="53">
                  <c:v>41.2</c:v>
                </c:pt>
                <c:pt idx="54">
                  <c:v>39.9</c:v>
                </c:pt>
                <c:pt idx="55">
                  <c:v>37.728571428571421</c:v>
                </c:pt>
                <c:pt idx="56">
                  <c:v>39.157142857142851</c:v>
                </c:pt>
                <c:pt idx="57">
                  <c:v>39.614285714285714</c:v>
                </c:pt>
                <c:pt idx="58">
                  <c:v>37.542857142857144</c:v>
                </c:pt>
                <c:pt idx="59">
                  <c:v>38.857142857142854</c:v>
                </c:pt>
                <c:pt idx="60">
                  <c:v>39.657142857142858</c:v>
                </c:pt>
                <c:pt idx="61">
                  <c:v>38.385714285714293</c:v>
                </c:pt>
                <c:pt idx="62">
                  <c:v>38.028571428571425</c:v>
                </c:pt>
                <c:pt idx="63">
                  <c:v>39.385714285714286</c:v>
                </c:pt>
                <c:pt idx="64">
                  <c:v>38.285714285714285</c:v>
                </c:pt>
                <c:pt idx="65">
                  <c:v>39.471428571428575</c:v>
                </c:pt>
                <c:pt idx="66">
                  <c:v>41.699999999999996</c:v>
                </c:pt>
                <c:pt idx="67">
                  <c:v>40.071428571428569</c:v>
                </c:pt>
                <c:pt idx="68">
                  <c:v>40.928571428571431</c:v>
                </c:pt>
                <c:pt idx="69">
                  <c:v>40.114285714285714</c:v>
                </c:pt>
                <c:pt idx="70">
                  <c:v>40.828571428571429</c:v>
                </c:pt>
                <c:pt idx="71">
                  <c:v>40.199999999999996</c:v>
                </c:pt>
                <c:pt idx="72">
                  <c:v>41.18571428571429</c:v>
                </c:pt>
                <c:pt idx="73">
                  <c:v>39.542857142857144</c:v>
                </c:pt>
                <c:pt idx="74">
                  <c:v>41.25714285714286</c:v>
                </c:pt>
                <c:pt idx="75">
                  <c:v>38.428571428571431</c:v>
                </c:pt>
                <c:pt idx="76">
                  <c:v>40.48571428571428</c:v>
                </c:pt>
                <c:pt idx="77">
                  <c:v>40.714285714285722</c:v>
                </c:pt>
                <c:pt idx="78">
                  <c:v>40.68571428571429</c:v>
                </c:pt>
                <c:pt idx="79">
                  <c:v>40.428571428571431</c:v>
                </c:pt>
                <c:pt idx="80">
                  <c:v>41.699999999999996</c:v>
                </c:pt>
                <c:pt idx="81">
                  <c:v>43.957142857142856</c:v>
                </c:pt>
                <c:pt idx="82">
                  <c:v>39.728571428571435</c:v>
                </c:pt>
                <c:pt idx="83">
                  <c:v>38.18571428571429</c:v>
                </c:pt>
                <c:pt idx="84">
                  <c:v>41.357142857142854</c:v>
                </c:pt>
                <c:pt idx="85">
                  <c:v>42.557142857142857</c:v>
                </c:pt>
                <c:pt idx="86">
                  <c:v>37.700000000000003</c:v>
                </c:pt>
                <c:pt idx="87">
                  <c:v>44.785714285714278</c:v>
                </c:pt>
                <c:pt idx="88">
                  <c:v>40.82</c:v>
                </c:pt>
                <c:pt idx="89">
                  <c:v>42.142857142857132</c:v>
                </c:pt>
                <c:pt idx="90">
                  <c:v>37.983333333333327</c:v>
                </c:pt>
                <c:pt idx="91">
                  <c:v>43</c:v>
                </c:pt>
                <c:pt idx="92">
                  <c:v>42.733333333333327</c:v>
                </c:pt>
                <c:pt idx="93">
                  <c:v>35.94</c:v>
                </c:pt>
                <c:pt idx="94">
                  <c:v>49.1</c:v>
                </c:pt>
                <c:pt idx="95">
                  <c:v>41.1</c:v>
                </c:pt>
              </c:numCache>
            </c:numRef>
          </c:val>
          <c:smooth val="0"/>
        </c:ser>
        <c:dLbls>
          <c:showLegendKey val="0"/>
          <c:showVal val="0"/>
          <c:showCatName val="0"/>
          <c:showSerName val="0"/>
          <c:showPercent val="0"/>
          <c:showBubbleSize val="0"/>
        </c:dLbls>
        <c:marker val="1"/>
        <c:smooth val="0"/>
        <c:axId val="-1940329440"/>
        <c:axId val="-1940341408"/>
      </c:lineChart>
      <c:catAx>
        <c:axId val="-2026231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accent2">
                    <a:lumMod val="75000"/>
                  </a:schemeClr>
                </a:solidFill>
                <a:latin typeface="+mn-lt"/>
                <a:ea typeface="+mn-ea"/>
                <a:cs typeface="+mn-cs"/>
              </a:defRPr>
            </a:pPr>
            <a:endParaRPr lang="en-US"/>
          </a:p>
        </c:txPr>
        <c:crossAx val="-2026229216"/>
        <c:crosses val="autoZero"/>
        <c:auto val="1"/>
        <c:lblAlgn val="ctr"/>
        <c:lblOffset val="100"/>
        <c:noMultiLvlLbl val="0"/>
      </c:catAx>
      <c:valAx>
        <c:axId val="-2026229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accent2">
                    <a:lumMod val="75000"/>
                  </a:schemeClr>
                </a:solidFill>
                <a:latin typeface="+mn-lt"/>
                <a:ea typeface="+mn-ea"/>
                <a:cs typeface="+mn-cs"/>
              </a:defRPr>
            </a:pPr>
            <a:endParaRPr lang="en-US"/>
          </a:p>
        </c:txPr>
        <c:crossAx val="-2026231392"/>
        <c:crosses val="autoZero"/>
        <c:crossBetween val="between"/>
      </c:valAx>
      <c:valAx>
        <c:axId val="-1940341408"/>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rgbClr val="C00000"/>
                </a:solidFill>
                <a:latin typeface="+mn-lt"/>
                <a:ea typeface="+mn-ea"/>
                <a:cs typeface="+mn-cs"/>
              </a:defRPr>
            </a:pPr>
            <a:endParaRPr lang="en-US"/>
          </a:p>
        </c:txPr>
        <c:crossAx val="-1940329440"/>
        <c:crosses val="max"/>
        <c:crossBetween val="between"/>
      </c:valAx>
      <c:catAx>
        <c:axId val="-1940329440"/>
        <c:scaling>
          <c:orientation val="minMax"/>
        </c:scaling>
        <c:delete val="1"/>
        <c:axPos val="b"/>
        <c:numFmt formatCode="General" sourceLinked="1"/>
        <c:majorTickMark val="out"/>
        <c:minorTickMark val="none"/>
        <c:tickLblPos val="nextTo"/>
        <c:crossAx val="-1940341408"/>
        <c:crosses val="autoZero"/>
        <c:auto val="1"/>
        <c:lblAlgn val="ctr"/>
        <c:lblOffset val="100"/>
        <c:noMultiLvlLbl val="0"/>
      </c:catAx>
      <c:spPr>
        <a:noFill/>
        <a:ln>
          <a:noFill/>
        </a:ln>
        <a:effectLst/>
      </c:spPr>
    </c:plotArea>
    <c:plotVisOnly val="0"/>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3.jpg"/><Relationship Id="rId4" Type="http://schemas.openxmlformats.org/officeDocument/2006/relationships/chart" Target="../charts/chart4.xml"/><Relationship Id="rId9"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-1</xdr:colOff>
      <xdr:row>84</xdr:row>
      <xdr:rowOff>0</xdr:rowOff>
    </xdr:from>
    <xdr:to>
      <xdr:col>8</xdr:col>
      <xdr:colOff>582705</xdr:colOff>
      <xdr:row>97</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84</xdr:row>
      <xdr:rowOff>0</xdr:rowOff>
    </xdr:from>
    <xdr:to>
      <xdr:col>16</xdr:col>
      <xdr:colOff>578826</xdr:colOff>
      <xdr:row>97</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4762</xdr:colOff>
      <xdr:row>64</xdr:row>
      <xdr:rowOff>4762</xdr:rowOff>
    </xdr:from>
    <xdr:to>
      <xdr:col>9</xdr:col>
      <xdr:colOff>0</xdr:colOff>
      <xdr:row>77</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64</xdr:row>
      <xdr:rowOff>0</xdr:rowOff>
    </xdr:from>
    <xdr:to>
      <xdr:col>16</xdr:col>
      <xdr:colOff>608150</xdr:colOff>
      <xdr:row>77</xdr:row>
      <xdr:rowOff>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171</xdr:row>
      <xdr:rowOff>179295</xdr:rowOff>
    </xdr:from>
    <xdr:to>
      <xdr:col>9</xdr:col>
      <xdr:colOff>0</xdr:colOff>
      <xdr:row>185</xdr:row>
      <xdr:rowOff>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123</xdr:row>
      <xdr:rowOff>0</xdr:rowOff>
    </xdr:from>
    <xdr:to>
      <xdr:col>9</xdr:col>
      <xdr:colOff>16809</xdr:colOff>
      <xdr:row>135</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100</xdr:row>
      <xdr:rowOff>0</xdr:rowOff>
    </xdr:from>
    <xdr:to>
      <xdr:col>17</xdr:col>
      <xdr:colOff>0</xdr:colOff>
      <xdr:row>106</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110</xdr:row>
      <xdr:rowOff>1949</xdr:rowOff>
    </xdr:from>
    <xdr:to>
      <xdr:col>17</xdr:col>
      <xdr:colOff>0</xdr:colOff>
      <xdr:row>116</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567019</xdr:colOff>
      <xdr:row>1</xdr:row>
      <xdr:rowOff>26334</xdr:rowOff>
    </xdr:from>
    <xdr:to>
      <xdr:col>17</xdr:col>
      <xdr:colOff>12327</xdr:colOff>
      <xdr:row>4</xdr:row>
      <xdr:rowOff>7284</xdr:rowOff>
    </xdr:to>
    <xdr:pic>
      <xdr:nvPicPr>
        <xdr:cNvPr id="14" name="Picture 1" descr="RJ&amp;ECCB&amp;WLogos-EMAILSI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100048" y="216834"/>
          <a:ext cx="2358838"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561975</xdr:colOff>
      <xdr:row>204</xdr:row>
      <xdr:rowOff>3923</xdr:rowOff>
    </xdr:from>
    <xdr:to>
      <xdr:col>17</xdr:col>
      <xdr:colOff>9525</xdr:colOff>
      <xdr:row>206</xdr:row>
      <xdr:rowOff>13448</xdr:rowOff>
    </xdr:to>
    <xdr:pic>
      <xdr:nvPicPr>
        <xdr:cNvPr id="18" name="Picture 1" descr="RJ&amp;ECCB&amp;WLogos-EMAILSI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077075" y="59373248"/>
          <a:ext cx="23526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xdr:colOff>
      <xdr:row>44</xdr:row>
      <xdr:rowOff>1</xdr:rowOff>
    </xdr:from>
    <xdr:to>
      <xdr:col>12</xdr:col>
      <xdr:colOff>1</xdr:colOff>
      <xdr:row>58</xdr:row>
      <xdr:rowOff>1</xdr:rowOff>
    </xdr:to>
    <xdr:pic>
      <xdr:nvPicPr>
        <xdr:cNvPr id="2" name="Picture 1"/>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705972" y="9592236"/>
          <a:ext cx="5827058" cy="44039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sheetPr>
  <dimension ref="C2:AA211"/>
  <sheetViews>
    <sheetView showGridLines="0" tabSelected="1" zoomScale="85" zoomScaleNormal="85" zoomScaleSheetLayoutView="85" workbookViewId="0"/>
  </sheetViews>
  <sheetFormatPr defaultRowHeight="15" x14ac:dyDescent="0.25"/>
  <cols>
    <col min="1" max="1" width="9.140625" style="209" customWidth="1"/>
    <col min="2" max="2" width="1.42578125" style="209" customWidth="1"/>
    <col min="3" max="13" width="8.7109375" style="209" customWidth="1"/>
    <col min="14" max="15" width="9.7109375" style="209" customWidth="1"/>
    <col min="16" max="17" width="8.7109375" style="209" customWidth="1"/>
    <col min="18" max="18" width="1.42578125" style="209" customWidth="1"/>
    <col min="19" max="16384" width="9.140625" style="209"/>
  </cols>
  <sheetData>
    <row r="2" spans="3:17" x14ac:dyDescent="0.25">
      <c r="C2" s="1" t="s">
        <v>20</v>
      </c>
      <c r="E2" s="754" t="str">
        <f ca="1">IF(config!D3="","UNDEFINED",config!D3)</f>
        <v>18225 GT TOTHAM</v>
      </c>
      <c r="F2" s="754"/>
      <c r="G2" s="754"/>
      <c r="H2" s="754"/>
      <c r="I2" s="754"/>
      <c r="J2" s="754"/>
      <c r="K2" s="754"/>
      <c r="L2" s="754"/>
    </row>
    <row r="3" spans="3:17" x14ac:dyDescent="0.25">
      <c r="C3" s="1" t="s">
        <v>22</v>
      </c>
      <c r="E3" s="754" t="str">
        <f ca="1">IF(config!D5="","UNDEFINED",config!D4&amp;" - "&amp;config!D5)</f>
        <v>ATC01  - Plains Rd (W), Gt Totham</v>
      </c>
      <c r="F3" s="754"/>
      <c r="G3" s="754"/>
      <c r="H3" s="754"/>
      <c r="I3" s="754"/>
      <c r="J3" s="754"/>
      <c r="K3" s="754"/>
      <c r="L3" s="754"/>
    </row>
    <row r="4" spans="3:17" x14ac:dyDescent="0.25">
      <c r="C4" s="1" t="s">
        <v>183</v>
      </c>
      <c r="E4" s="754" t="str">
        <f>IF(config!D13="","UNDEFINED",config!D13)</f>
        <v>TP, 290m E of j/w Beckingham Rd</v>
      </c>
      <c r="F4" s="754"/>
      <c r="G4" s="754"/>
      <c r="H4" s="754"/>
      <c r="I4" s="754"/>
      <c r="J4" s="754"/>
      <c r="K4" s="754"/>
      <c r="L4" s="754"/>
      <c r="Q4" s="496" t="s">
        <v>406</v>
      </c>
    </row>
    <row r="5" spans="3:17" ht="15" customHeight="1" x14ac:dyDescent="0.25">
      <c r="C5" s="1" t="s">
        <v>138</v>
      </c>
      <c r="E5" s="755">
        <f>IF(config!D6="","UNDEFINED",config!D6)</f>
        <v>43263</v>
      </c>
      <c r="F5" s="755"/>
      <c r="G5" s="755"/>
      <c r="H5" s="755"/>
      <c r="I5" s="755"/>
      <c r="K5" s="438"/>
      <c r="L5" s="438"/>
      <c r="M5" s="438"/>
      <c r="N5" s="438"/>
      <c r="O5" s="438"/>
      <c r="P5" s="438"/>
      <c r="Q5" s="438"/>
    </row>
    <row r="6" spans="3:17" ht="15" customHeight="1" x14ac:dyDescent="0.25">
      <c r="C6" s="1" t="s">
        <v>184</v>
      </c>
      <c r="E6" s="755">
        <f>IFERROR(E5+(config!AC13-1),"UNDEFINED")</f>
        <v>43269</v>
      </c>
      <c r="F6" s="756"/>
      <c r="G6" s="756"/>
      <c r="H6" s="756"/>
      <c r="I6" s="756"/>
      <c r="K6" s="750" t="str">
        <f>config!AC13&amp;"-DAY AUTOMATIC TRAFFIC COUNT"</f>
        <v>7-DAY AUTOMATIC TRAFFIC COUNT</v>
      </c>
      <c r="L6" s="750"/>
      <c r="M6" s="750"/>
      <c r="N6" s="750"/>
      <c r="O6" s="750"/>
      <c r="P6" s="750"/>
      <c r="Q6" s="750"/>
    </row>
    <row r="7" spans="3:17" ht="15" customHeight="1" x14ac:dyDescent="0.25">
      <c r="C7" s="1" t="s">
        <v>140</v>
      </c>
      <c r="E7" s="754" t="str">
        <f>IF(config!D8="","UNDEFINED",config!D8&amp;"mph")</f>
        <v>60mph</v>
      </c>
      <c r="F7" s="754"/>
      <c r="G7" s="754"/>
      <c r="H7" s="754"/>
      <c r="I7" s="754"/>
      <c r="K7" s="751"/>
      <c r="L7" s="751"/>
      <c r="M7" s="751"/>
      <c r="N7" s="751"/>
      <c r="O7" s="751"/>
      <c r="P7" s="751"/>
      <c r="Q7" s="751"/>
    </row>
    <row r="8" spans="3:17" x14ac:dyDescent="0.25">
      <c r="C8" s="1" t="s">
        <v>231</v>
      </c>
      <c r="E8" s="754" t="str">
        <f>config!AC13&amp;"-day ATC, 15min periods, 10 veh. classes"</f>
        <v>7-day ATC, 15min periods, 10 veh. classes</v>
      </c>
      <c r="F8" s="754"/>
      <c r="G8" s="754"/>
      <c r="H8" s="754"/>
      <c r="I8" s="754"/>
      <c r="K8" s="759" t="str">
        <f>IFERROR("A "&amp;config!AC13&amp;"-day automatic traffic count on "&amp;config!D5&amp;", commencing "&amp;TEXT(config!D6,"ddd DD MMM YYYY")&amp;", recorded a total of "&amp;TEXT(config!AG14,"###,#")&amp;" vehicles. The posted speed limit of "&amp;config!D8&amp;"mph was exceeded by "&amp;TEXT(config!AG44*100,"0.0")&amp;"% of vehicles, and the seasonally adjusted, combined AADT value is "&amp;TEXT(I19,"#,###")&amp;" (see 'Equipment &amp; methodology' below).
"&amp;IF(config!AT17&lt;=config!AA5,"Due to the low speeds recorded, the classification data should be disregarded due to a deterioration in accuracy. However, volume and speed data will remain accurate within tolerances.",""), "")</f>
        <v xml:space="preserve">A 7-day automatic traffic count on Plains Rd (W), Gt Totham, commencing Tue 12 Jun 2018, recorded a total of 9,275 vehicles. The posted speed limit of 60mph was exceeded by 1.2% of vehicles, and the seasonally adjusted, combined AADT value is 1,365 (see 'Equipment &amp; methodology' below).
</v>
      </c>
      <c r="L8" s="759"/>
      <c r="M8" s="759"/>
      <c r="N8" s="759"/>
      <c r="O8" s="759"/>
      <c r="P8" s="759"/>
      <c r="Q8" s="759"/>
    </row>
    <row r="9" spans="3:17" x14ac:dyDescent="0.25">
      <c r="E9" s="210"/>
      <c r="F9" s="210"/>
      <c r="G9" s="210"/>
      <c r="H9" s="210"/>
      <c r="I9" s="210"/>
      <c r="K9" s="759"/>
      <c r="L9" s="759"/>
      <c r="M9" s="759"/>
      <c r="N9" s="759"/>
      <c r="O9" s="759"/>
      <c r="P9" s="759"/>
      <c r="Q9" s="759"/>
    </row>
    <row r="10" spans="3:17" ht="45.75" customHeight="1" x14ac:dyDescent="0.25">
      <c r="C10" s="2"/>
      <c r="E10" s="210"/>
      <c r="F10" s="210"/>
      <c r="G10" s="210"/>
      <c r="H10" s="210"/>
      <c r="I10" s="210"/>
      <c r="K10" s="759"/>
      <c r="L10" s="759"/>
      <c r="M10" s="759"/>
      <c r="N10" s="759"/>
      <c r="O10" s="759"/>
      <c r="P10" s="759"/>
      <c r="Q10" s="759"/>
    </row>
    <row r="11" spans="3:17" ht="30" customHeight="1" x14ac:dyDescent="0.4">
      <c r="C11" s="560" t="s">
        <v>236</v>
      </c>
      <c r="D11" s="211"/>
      <c r="E11" s="211"/>
      <c r="F11" s="211"/>
      <c r="G11" s="211"/>
      <c r="H11" s="211"/>
      <c r="I11" s="211"/>
      <c r="K11" s="759"/>
      <c r="L11" s="759"/>
      <c r="M11" s="759"/>
      <c r="N11" s="759"/>
      <c r="O11" s="759"/>
      <c r="P11" s="759"/>
      <c r="Q11" s="759"/>
    </row>
    <row r="12" spans="3:17" ht="15" customHeight="1" x14ac:dyDescent="0.25">
      <c r="C12" s="3"/>
      <c r="D12" s="19"/>
      <c r="E12" s="19"/>
      <c r="F12" s="19"/>
      <c r="G12" s="19"/>
      <c r="H12" s="19"/>
      <c r="I12" s="19"/>
      <c r="K12" s="759"/>
      <c r="L12" s="759"/>
      <c r="M12" s="759"/>
      <c r="N12" s="759"/>
      <c r="O12" s="759"/>
      <c r="P12" s="759"/>
      <c r="Q12" s="759"/>
    </row>
    <row r="13" spans="3:17" ht="15" customHeight="1" x14ac:dyDescent="0.25">
      <c r="C13" s="741"/>
      <c r="D13" s="741"/>
      <c r="E13" s="741"/>
      <c r="F13" s="19"/>
      <c r="G13" s="19"/>
      <c r="H13" s="19"/>
      <c r="I13" s="19"/>
      <c r="K13" s="759"/>
      <c r="L13" s="759"/>
      <c r="M13" s="759"/>
      <c r="N13" s="759"/>
      <c r="O13" s="759"/>
      <c r="P13" s="759"/>
      <c r="Q13" s="759"/>
    </row>
    <row r="14" spans="3:17" ht="15" customHeight="1" x14ac:dyDescent="0.3">
      <c r="C14" s="717" t="str">
        <f>"COMBINED " &amp; UPPER(config!D11) &amp; "- &amp; " &amp; UPPER(config!D12) &amp;"BOUND"</f>
        <v>COMBINED EAST- &amp; WESTBOUND</v>
      </c>
      <c r="D14" s="211"/>
      <c r="E14" s="211"/>
      <c r="F14" s="211"/>
      <c r="G14" s="211"/>
      <c r="H14" s="211"/>
      <c r="I14" s="211"/>
      <c r="K14" s="759"/>
      <c r="L14" s="759"/>
      <c r="M14" s="759"/>
      <c r="N14" s="759"/>
      <c r="O14" s="759"/>
      <c r="P14" s="759"/>
      <c r="Q14" s="759"/>
    </row>
    <row r="15" spans="3:17" ht="15" customHeight="1" x14ac:dyDescent="0.25">
      <c r="C15" s="4" t="s">
        <v>170</v>
      </c>
      <c r="D15" s="15"/>
      <c r="E15" s="15"/>
      <c r="F15" s="15"/>
      <c r="G15" s="15"/>
      <c r="H15" s="15"/>
      <c r="I15" s="292" t="str">
        <f>TEXT(config!AG14,"#,###")</f>
        <v>9,275</v>
      </c>
      <c r="K15" s="737" t="str">
        <f>"The combined summary on the left shows the total volumes, average speeds, AADT and 85%iles recorded in both directions from all the recorded data, plus the Mon-Fri peak periods. Speeding vehicles are defined as those travelling "&amp;config!D8+1&amp;"mph and above.
The summaries below provide directionalised details including speeding percentages and weekday daytime details."</f>
        <v>The combined summary on the left shows the total volumes, average speeds, AADT and 85%iles recorded in both directions from all the recorded data, plus the Mon-Fri peak periods. Speeding vehicles are defined as those travelling 61mph and above.
The summaries below provide directionalised details including speeding percentages and weekday daytime details.</v>
      </c>
      <c r="L15" s="737"/>
      <c r="M15" s="737"/>
      <c r="N15" s="737"/>
      <c r="O15" s="737"/>
      <c r="P15" s="737"/>
      <c r="Q15" s="737"/>
    </row>
    <row r="16" spans="3:17" ht="15" customHeight="1" x14ac:dyDescent="0.25">
      <c r="C16" s="6" t="str">
        <f>"Avg daily volume (based on "&amp;config!AC13&amp;" days)"</f>
        <v>Avg daily volume (based on 7 days)</v>
      </c>
      <c r="D16" s="9"/>
      <c r="E16" s="9"/>
      <c r="F16" s="9"/>
      <c r="G16" s="9"/>
      <c r="H16" s="9"/>
      <c r="I16" s="10" t="str">
        <f>IFERROR(TEXT(config!AG17,"#,###.0"),"NO DATA")</f>
        <v>1,325.0</v>
      </c>
      <c r="K16" s="737"/>
      <c r="L16" s="737"/>
      <c r="M16" s="737"/>
      <c r="N16" s="737"/>
      <c r="O16" s="737"/>
      <c r="P16" s="737"/>
      <c r="Q16" s="737"/>
    </row>
    <row r="17" spans="3:19" ht="15" customHeight="1" x14ac:dyDescent="0.25">
      <c r="C17" s="6" t="str">
        <f>"Average daily speed ("&amp;config!AC13&amp;" days)"</f>
        <v>Average daily speed (7 days)</v>
      </c>
      <c r="D17" s="9"/>
      <c r="E17" s="9"/>
      <c r="F17" s="9"/>
      <c r="G17" s="9"/>
      <c r="H17" s="9"/>
      <c r="I17" s="10" t="str">
        <f>IFERROR(TEXT(config!AT17,"#.0")&amp;"mph","NO DATA")</f>
        <v>40.8mph</v>
      </c>
      <c r="K17" s="737"/>
      <c r="L17" s="737"/>
      <c r="M17" s="737"/>
      <c r="N17" s="737"/>
      <c r="O17" s="737"/>
      <c r="P17" s="737"/>
      <c r="Q17" s="737"/>
    </row>
    <row r="18" spans="3:19" ht="15" customHeight="1" x14ac:dyDescent="0.25">
      <c r="C18" s="7" t="str">
        <f>"Average daily 85%ile ("&amp;config!AC13&amp;" days)"</f>
        <v>Average daily 85%ile (7 days)</v>
      </c>
      <c r="D18" s="9"/>
      <c r="E18" s="9"/>
      <c r="F18" s="9"/>
      <c r="G18" s="9"/>
      <c r="H18" s="9"/>
      <c r="I18" s="8" t="str">
        <f>IFERROR(TEXT(config!BK17,"#.0")&amp;"mph","NO DATA")</f>
        <v>47.9mph</v>
      </c>
      <c r="K18" s="737"/>
      <c r="L18" s="737"/>
      <c r="M18" s="737"/>
      <c r="N18" s="737"/>
      <c r="O18" s="737"/>
      <c r="P18" s="737"/>
      <c r="Q18" s="737"/>
    </row>
    <row r="19" spans="3:19" ht="15" customHeight="1" x14ac:dyDescent="0.25">
      <c r="C19" s="6" t="s">
        <v>233</v>
      </c>
      <c r="D19" s="9"/>
      <c r="E19" s="9"/>
      <c r="F19" s="9"/>
      <c r="G19" s="9"/>
      <c r="H19" s="9"/>
      <c r="I19" s="10" t="str">
        <f>TEXT(config!CC14,"#,###")</f>
        <v>1,365</v>
      </c>
      <c r="K19" s="737"/>
      <c r="L19" s="737"/>
      <c r="M19" s="737"/>
      <c r="N19" s="737"/>
      <c r="O19" s="737"/>
      <c r="P19" s="737"/>
      <c r="Q19" s="737"/>
    </row>
    <row r="20" spans="3:19" ht="15" customHeight="1" x14ac:dyDescent="0.25">
      <c r="C20" s="11"/>
      <c r="D20" s="19"/>
      <c r="E20" s="19"/>
      <c r="F20" s="19"/>
      <c r="G20" s="19"/>
      <c r="H20" s="19"/>
      <c r="I20" s="12"/>
      <c r="K20" s="737"/>
      <c r="L20" s="737"/>
      <c r="M20" s="737"/>
      <c r="N20" s="737"/>
      <c r="O20" s="737"/>
      <c r="P20" s="737"/>
      <c r="Q20" s="737"/>
    </row>
    <row r="21" spans="3:19" ht="15" customHeight="1" x14ac:dyDescent="0.25">
      <c r="C21" s="13" t="s">
        <v>181</v>
      </c>
      <c r="D21" s="15"/>
      <c r="E21" s="15"/>
      <c r="F21" s="15"/>
      <c r="G21" s="15"/>
      <c r="H21" s="15"/>
      <c r="I21" s="14" t="str">
        <f>TEXT(config!AI17,"#,###.0")</f>
        <v>1,417.4</v>
      </c>
      <c r="K21" s="737"/>
      <c r="L21" s="737"/>
      <c r="M21" s="737"/>
      <c r="N21" s="737"/>
      <c r="O21" s="737"/>
      <c r="P21" s="737"/>
      <c r="Q21" s="737"/>
    </row>
    <row r="22" spans="3:19" ht="15" customHeight="1" x14ac:dyDescent="0.25">
      <c r="C22" s="13" t="s">
        <v>180</v>
      </c>
      <c r="D22" s="15"/>
      <c r="E22" s="15"/>
      <c r="F22" s="15"/>
      <c r="G22" s="15"/>
      <c r="H22" s="15"/>
      <c r="I22" s="14" t="str">
        <f>IFERROR(TEXT(config!AV17,"#.0")&amp;"mph","NO DATA")</f>
        <v>41.1mph</v>
      </c>
      <c r="K22" s="737"/>
      <c r="L22" s="737"/>
      <c r="M22" s="737"/>
      <c r="N22" s="737"/>
      <c r="O22" s="737"/>
      <c r="P22" s="737"/>
      <c r="Q22" s="737"/>
    </row>
    <row r="23" spans="3:19" ht="15" customHeight="1" x14ac:dyDescent="0.25">
      <c r="C23" s="21" t="s">
        <v>404</v>
      </c>
      <c r="D23" s="15"/>
      <c r="E23" s="15"/>
      <c r="F23" s="15"/>
      <c r="G23" s="15"/>
      <c r="H23" s="15"/>
      <c r="I23" s="14" t="str">
        <f>IFERROR(TEXT(config!AN17,"#,###.0"),"NO DATA")</f>
        <v>1,170.6</v>
      </c>
      <c r="K23" s="737"/>
      <c r="L23" s="737"/>
      <c r="M23" s="737"/>
      <c r="N23" s="737"/>
      <c r="O23" s="737"/>
      <c r="P23" s="737"/>
      <c r="Q23" s="737"/>
    </row>
    <row r="24" spans="3:19" ht="15" customHeight="1" x14ac:dyDescent="0.25">
      <c r="C24" s="21" t="s">
        <v>179</v>
      </c>
      <c r="D24" s="15"/>
      <c r="E24" s="15"/>
      <c r="F24" s="15"/>
      <c r="G24" s="15"/>
      <c r="H24" s="15"/>
      <c r="I24" s="14" t="str">
        <f>IFERROR(TEXT(config!BA17,"#.0")&amp;"mph","NO DATA")</f>
        <v>39.7mph</v>
      </c>
      <c r="K24" s="439"/>
      <c r="L24" s="439"/>
      <c r="M24" s="439"/>
      <c r="N24" s="439"/>
      <c r="O24" s="439"/>
      <c r="P24" s="439"/>
      <c r="Q24" s="439"/>
    </row>
    <row r="25" spans="3:19" ht="15" customHeight="1" x14ac:dyDescent="0.25">
      <c r="C25" s="742"/>
      <c r="D25" s="742"/>
      <c r="E25" s="742"/>
      <c r="F25" s="742"/>
      <c r="G25" s="742"/>
      <c r="H25" s="742"/>
      <c r="I25" s="742"/>
      <c r="J25" s="742"/>
      <c r="K25" s="742"/>
      <c r="L25" s="742"/>
      <c r="M25" s="742"/>
      <c r="N25" s="742"/>
      <c r="O25" s="742"/>
      <c r="P25" s="742"/>
      <c r="Q25" s="742"/>
    </row>
    <row r="26" spans="3:19" ht="15" customHeight="1" x14ac:dyDescent="0.25">
      <c r="C26" s="3"/>
      <c r="D26" s="19"/>
      <c r="E26" s="19"/>
      <c r="F26" s="19"/>
      <c r="G26" s="19"/>
      <c r="H26" s="19"/>
      <c r="I26" s="19"/>
    </row>
    <row r="27" spans="3:19" x14ac:dyDescent="0.25">
      <c r="C27" s="715"/>
      <c r="D27" s="715"/>
      <c r="E27" s="715"/>
      <c r="I27" s="745" t="str">
        <f>IFERROR(config!CI17, "X")</f>
        <v>→</v>
      </c>
      <c r="K27" s="715"/>
      <c r="L27" s="715"/>
      <c r="M27" s="715"/>
      <c r="Q27" s="752" t="str">
        <f>IFERROR(config!CI18, "X")</f>
        <v>←</v>
      </c>
    </row>
    <row r="28" spans="3:19" ht="18.75" x14ac:dyDescent="0.3">
      <c r="C28" s="717" t="str">
        <f>UPPER(config!CI5)</f>
        <v>EASTBOUND</v>
      </c>
      <c r="D28" s="211"/>
      <c r="E28" s="211"/>
      <c r="F28" s="211"/>
      <c r="G28" s="211"/>
      <c r="H28" s="716"/>
      <c r="I28" s="746"/>
      <c r="K28" s="717" t="str">
        <f>UPPER(config!CI6)</f>
        <v>WESTBOUND</v>
      </c>
      <c r="L28" s="211"/>
      <c r="M28" s="211"/>
      <c r="N28" s="211"/>
      <c r="O28" s="211"/>
      <c r="P28" s="716"/>
      <c r="Q28" s="753"/>
    </row>
    <row r="29" spans="3:19" x14ac:dyDescent="0.25">
      <c r="C29" s="4" t="str">
        <f>C15</f>
        <v>Total recorded volume</v>
      </c>
      <c r="D29" s="15"/>
      <c r="E29" s="15"/>
      <c r="F29" s="15"/>
      <c r="G29" s="15"/>
      <c r="H29" s="15"/>
      <c r="I29" s="5" t="str">
        <f>TEXT(config!AG13,"#,###")</f>
        <v>4,754</v>
      </c>
      <c r="K29" s="4" t="str">
        <f>C29</f>
        <v>Total recorded volume</v>
      </c>
      <c r="L29" s="15"/>
      <c r="M29" s="15"/>
      <c r="N29" s="15"/>
      <c r="O29" s="15"/>
      <c r="P29" s="15"/>
      <c r="Q29" s="5" t="str">
        <f>TEXT(config!AH13,"#,###")</f>
        <v>4,521</v>
      </c>
    </row>
    <row r="30" spans="3:19" x14ac:dyDescent="0.25">
      <c r="C30" s="15" t="str">
        <f>C16</f>
        <v>Avg daily volume (based on 7 days)</v>
      </c>
      <c r="D30" s="15"/>
      <c r="E30" s="15"/>
      <c r="F30" s="15"/>
      <c r="G30" s="15"/>
      <c r="H30" s="15"/>
      <c r="I30" s="212" t="str">
        <f>TEXT(config!AG16,"#,###.0")</f>
        <v>679.1</v>
      </c>
      <c r="K30" s="15" t="str">
        <f>C30</f>
        <v>Avg daily volume (based on 7 days)</v>
      </c>
      <c r="L30" s="15"/>
      <c r="M30" s="15"/>
      <c r="N30" s="15"/>
      <c r="O30" s="15"/>
      <c r="P30" s="15"/>
      <c r="Q30" s="212" t="str">
        <f>TEXT(config!AH16,"#,###.0")</f>
        <v>645.9</v>
      </c>
      <c r="S30" s="19"/>
    </row>
    <row r="31" spans="3:19" x14ac:dyDescent="0.25">
      <c r="C31" s="15" t="str">
        <f>C17</f>
        <v>Average daily speed (7 days)</v>
      </c>
      <c r="D31" s="15"/>
      <c r="E31" s="15"/>
      <c r="F31" s="15"/>
      <c r="G31" s="15"/>
      <c r="H31" s="15"/>
      <c r="I31" s="212" t="str">
        <f>IFERROR(TEXT(config!AT16,"#.0")&amp;"mph","NO DATA")</f>
        <v>41.1mph</v>
      </c>
      <c r="K31" s="15" t="str">
        <f>C31</f>
        <v>Average daily speed (7 days)</v>
      </c>
      <c r="L31" s="15"/>
      <c r="M31" s="15"/>
      <c r="N31" s="15"/>
      <c r="O31" s="15"/>
      <c r="P31" s="15"/>
      <c r="Q31" s="212" t="str">
        <f>IFERROR(TEXT(config!AU16,"#.0")&amp;"mph","NO DATA")</f>
        <v>40.5mph</v>
      </c>
    </row>
    <row r="32" spans="3:19" x14ac:dyDescent="0.25">
      <c r="C32" s="16" t="str">
        <f>C18</f>
        <v>Average daily 85%ile (7 days)</v>
      </c>
      <c r="D32" s="15"/>
      <c r="E32" s="15"/>
      <c r="F32" s="15"/>
      <c r="G32" s="15"/>
      <c r="H32" s="15"/>
      <c r="I32" s="17" t="str">
        <f>IFERROR(TEXT(config!BK16,"#.0")&amp;"mph","NO DATA")</f>
        <v>48.6mph</v>
      </c>
      <c r="K32" s="16" t="str">
        <f>C32</f>
        <v>Average daily 85%ile (7 days)</v>
      </c>
      <c r="L32" s="15"/>
      <c r="M32" s="15"/>
      <c r="N32" s="15"/>
      <c r="O32" s="15"/>
      <c r="P32" s="15"/>
      <c r="Q32" s="17" t="str">
        <f>IFERROR(TEXT(config!BL16,"#.0")&amp;"mph","NO DATA")</f>
        <v>47.3mph</v>
      </c>
    </row>
    <row r="33" spans="3:17" x14ac:dyDescent="0.25">
      <c r="C33" s="15" t="str">
        <f>"% of vehicles exceeding "&amp;config!$D$8&amp;"mph"</f>
        <v>% of vehicles exceeding 60mph</v>
      </c>
      <c r="D33" s="15"/>
      <c r="E33" s="15"/>
      <c r="F33" s="15"/>
      <c r="G33" s="15"/>
      <c r="H33" s="15"/>
      <c r="I33" s="18">
        <f>IFERROR(config!AG43,"NO DATA")</f>
        <v>1.5986537652503154E-2</v>
      </c>
      <c r="K33" s="15" t="str">
        <f>C33</f>
        <v>% of vehicles exceeding 60mph</v>
      </c>
      <c r="L33" s="15"/>
      <c r="M33" s="15"/>
      <c r="N33" s="15"/>
      <c r="O33" s="15"/>
      <c r="P33" s="15"/>
      <c r="Q33" s="18">
        <f>IFERROR(config!AH43,"NO DATA")</f>
        <v>8.8476000884760014E-3</v>
      </c>
    </row>
    <row r="34" spans="3:17" x14ac:dyDescent="0.25">
      <c r="C34" s="19"/>
      <c r="D34" s="19"/>
      <c r="E34" s="19"/>
      <c r="F34" s="19"/>
      <c r="G34" s="19"/>
      <c r="H34" s="19"/>
      <c r="I34" s="20"/>
      <c r="K34" s="19"/>
      <c r="L34" s="19"/>
      <c r="M34" s="19"/>
      <c r="N34" s="19"/>
      <c r="O34" s="19"/>
      <c r="P34" s="19"/>
      <c r="Q34" s="20"/>
    </row>
    <row r="35" spans="3:17" x14ac:dyDescent="0.25">
      <c r="C35" s="13" t="str">
        <f>C21</f>
        <v>Avg weekday volume (Mon-Fri, 24hrs)</v>
      </c>
      <c r="D35" s="15"/>
      <c r="E35" s="15"/>
      <c r="F35" s="15"/>
      <c r="G35" s="15"/>
      <c r="H35" s="15"/>
      <c r="I35" s="14" t="str">
        <f>IFERROR(TEXT(config!AI16, "#,###.0"),"NO DATA")</f>
        <v>720.6</v>
      </c>
      <c r="K35" s="13" t="str">
        <f>C35</f>
        <v>Avg weekday volume (Mon-Fri, 24hrs)</v>
      </c>
      <c r="L35" s="15"/>
      <c r="M35" s="15"/>
      <c r="N35" s="15"/>
      <c r="O35" s="15"/>
      <c r="P35" s="15"/>
      <c r="Q35" s="14" t="str">
        <f>IFERROR(TEXT(config!AJ16, "#,###.0"),"NO DATA")</f>
        <v>696.8</v>
      </c>
    </row>
    <row r="36" spans="3:17" x14ac:dyDescent="0.25">
      <c r="C36" s="13" t="str">
        <f>C22</f>
        <v>Avg weekday speed (Mon-Fri, 24hrs)</v>
      </c>
      <c r="D36" s="15"/>
      <c r="E36" s="15"/>
      <c r="F36" s="15"/>
      <c r="G36" s="15"/>
      <c r="H36" s="15"/>
      <c r="I36" s="14" t="str">
        <f>IFERROR(TEXT(config!AV16,"#.0")&amp;"mph","NO DATA")</f>
        <v>41.4mph</v>
      </c>
      <c r="K36" s="13" t="str">
        <f>C36</f>
        <v>Avg weekday speed (Mon-Fri, 24hrs)</v>
      </c>
      <c r="L36" s="15"/>
      <c r="M36" s="15"/>
      <c r="N36" s="15"/>
      <c r="O36" s="15"/>
      <c r="P36" s="15"/>
      <c r="Q36" s="14" t="str">
        <f>IFERROR(TEXT(config!AW16,"#.0")&amp;"mph","NO DATA")</f>
        <v>40.8mph</v>
      </c>
    </row>
    <row r="37" spans="3:17" x14ac:dyDescent="0.25">
      <c r="C37" s="21" t="s">
        <v>404</v>
      </c>
      <c r="D37" s="15"/>
      <c r="E37" s="15"/>
      <c r="F37" s="15"/>
      <c r="G37" s="15"/>
      <c r="H37" s="15"/>
      <c r="I37" s="14" t="str">
        <f>IFERROR(TEXT(config!AN16,"#,###.0"),"NO DATA")</f>
        <v>589.4</v>
      </c>
      <c r="K37" s="13" t="str">
        <f>C37</f>
        <v>Avg 12hr weekday volume (Mon-Fri, 0700-1900)</v>
      </c>
      <c r="L37" s="15"/>
      <c r="M37" s="15"/>
      <c r="N37" s="15"/>
      <c r="O37" s="15"/>
      <c r="P37" s="15"/>
      <c r="Q37" s="14" t="str">
        <f>IFERROR(TEXT(config!AO16,"#,###.0"),"NO DATA")</f>
        <v>581.2</v>
      </c>
    </row>
    <row r="38" spans="3:17" x14ac:dyDescent="0.25">
      <c r="C38" s="21" t="s">
        <v>179</v>
      </c>
      <c r="D38" s="15"/>
      <c r="E38" s="15"/>
      <c r="F38" s="15"/>
      <c r="G38" s="15"/>
      <c r="H38" s="15"/>
      <c r="I38" s="14" t="str">
        <f>IFERROR(TEXT(config!BA16,"#.0")&amp;"mph","NO DATA")</f>
        <v>39.8mph</v>
      </c>
      <c r="K38" s="21" t="str">
        <f>C38</f>
        <v>Avg 12hr weekday speed (Mon-Fri, 0700-1900)</v>
      </c>
      <c r="L38" s="15"/>
      <c r="M38" s="15"/>
      <c r="N38" s="15"/>
      <c r="O38" s="15"/>
      <c r="P38" s="15"/>
      <c r="Q38" s="14" t="str">
        <f>IFERROR(TEXT(config!BB16,"#.0")&amp;"mph","NO DATA")</f>
        <v>39.7mph</v>
      </c>
    </row>
    <row r="39" spans="3:17" x14ac:dyDescent="0.25">
      <c r="C39" s="16" t="s">
        <v>182</v>
      </c>
      <c r="D39" s="15"/>
      <c r="E39" s="15"/>
      <c r="F39" s="15"/>
      <c r="G39" s="15"/>
      <c r="H39" s="15"/>
      <c r="I39" s="17" t="str">
        <f>IFERROR(TEXT(config!BR16,"#.0")&amp;"mph","NO DATA")</f>
        <v>49.1mph</v>
      </c>
      <c r="K39" s="16" t="str">
        <f>C39</f>
        <v>Avg 12hr weekday 85%ile (Mon-Fri, 0700-1900)</v>
      </c>
      <c r="L39" s="15"/>
      <c r="M39" s="15"/>
      <c r="N39" s="15"/>
      <c r="O39" s="15"/>
      <c r="P39" s="15"/>
      <c r="Q39" s="17" t="str">
        <f>IFERROR(TEXT(config!BS16,"#.0")&amp;"mph","NO DATA")</f>
        <v>47.3mph</v>
      </c>
    </row>
    <row r="40" spans="3:17" x14ac:dyDescent="0.25">
      <c r="C40" s="523" t="s">
        <v>426</v>
      </c>
      <c r="D40" s="15"/>
      <c r="E40" s="15"/>
      <c r="F40" s="15"/>
      <c r="G40" s="15"/>
      <c r="H40" s="15"/>
      <c r="I40" s="524" t="str">
        <f ca="1">IFERROR(TEXT(config!AL25, "hh:mm") &amp; " to " &amp; TEXT(config!AL26, "hh:mm"), "")</f>
        <v>07:45 to 08:00</v>
      </c>
      <c r="K40" s="523" t="str">
        <f t="shared" ref="K40:K41" si="0">C40</f>
        <v>AM avg peak vol period (Mon-Fri)</v>
      </c>
      <c r="L40" s="15"/>
      <c r="M40" s="15"/>
      <c r="N40" s="15"/>
      <c r="O40" s="15"/>
      <c r="P40" s="15"/>
      <c r="Q40" s="524" t="str">
        <f ca="1">IFERROR(TEXT(config!AM25, "hh:mm") &amp; " to " &amp; TEXT(config!AM26, "hh:mm"), "")</f>
        <v>07:45 to 08:00</v>
      </c>
    </row>
    <row r="41" spans="3:17" x14ac:dyDescent="0.25">
      <c r="C41" s="523" t="s">
        <v>427</v>
      </c>
      <c r="D41" s="15"/>
      <c r="E41" s="15"/>
      <c r="F41" s="15"/>
      <c r="G41" s="15"/>
      <c r="H41" s="15"/>
      <c r="I41" s="524" t="str">
        <f ca="1">IFERROR(TEXT(config!AL29, "hh:mm") &amp; " to " &amp; TEXT(config!AL30, "hh:mm"), "")</f>
        <v>17:15 to 17:30</v>
      </c>
      <c r="K41" s="523" t="str">
        <f t="shared" si="0"/>
        <v>PM avg peak vol period (Mon-Fri)</v>
      </c>
      <c r="L41" s="15"/>
      <c r="M41" s="15"/>
      <c r="N41" s="15"/>
      <c r="O41" s="15"/>
      <c r="P41" s="15"/>
      <c r="Q41" s="524" t="str">
        <f ca="1">IFERROR(TEXT(config!AM29, "hh:mm") &amp; " to " &amp; TEXT(config!AM30, "hh:mm"), "")</f>
        <v>17:00 to 17:15</v>
      </c>
    </row>
    <row r="42" spans="3:17" ht="48.75" customHeight="1" x14ac:dyDescent="0.25">
      <c r="C42" s="19"/>
      <c r="D42" s="19"/>
      <c r="E42" s="19"/>
      <c r="F42" s="19"/>
      <c r="G42" s="19"/>
      <c r="H42" s="19"/>
      <c r="I42" s="173"/>
      <c r="K42" s="19"/>
      <c r="L42" s="19"/>
      <c r="M42" s="19"/>
      <c r="N42" s="19"/>
      <c r="O42" s="19"/>
      <c r="P42" s="19"/>
      <c r="Q42" s="173"/>
    </row>
    <row r="43" spans="3:17" ht="26.25" x14ac:dyDescent="0.4">
      <c r="C43" s="560" t="s">
        <v>238</v>
      </c>
      <c r="D43" s="211"/>
      <c r="E43" s="211"/>
      <c r="F43" s="211"/>
      <c r="G43" s="211"/>
      <c r="H43" s="211"/>
      <c r="I43" s="211"/>
    </row>
    <row r="44" spans="3:17" ht="15.75" thickBot="1" x14ac:dyDescent="0.3">
      <c r="C44" s="237"/>
      <c r="N44" s="19"/>
      <c r="O44" s="19"/>
      <c r="P44" s="19"/>
      <c r="Q44" s="19"/>
    </row>
    <row r="45" spans="3:17" ht="30" customHeight="1" x14ac:dyDescent="0.25">
      <c r="C45" s="766" t="s">
        <v>283</v>
      </c>
      <c r="D45" s="767"/>
      <c r="E45" s="767"/>
      <c r="F45" s="767"/>
      <c r="G45" s="767"/>
      <c r="H45" s="767"/>
      <c r="I45" s="767"/>
      <c r="J45" s="767"/>
      <c r="K45" s="767"/>
      <c r="L45" s="768"/>
      <c r="N45" s="527" t="s">
        <v>22</v>
      </c>
      <c r="O45" s="749" t="str">
        <f>IF(config!D5="","UNDEFINED",config!D5)</f>
        <v>Plains Rd (W), Gt Totham</v>
      </c>
      <c r="P45" s="749"/>
      <c r="Q45" s="749"/>
    </row>
    <row r="46" spans="3:17" ht="30" customHeight="1" x14ac:dyDescent="0.25">
      <c r="C46" s="769"/>
      <c r="D46" s="770"/>
      <c r="E46" s="770"/>
      <c r="F46" s="770"/>
      <c r="G46" s="770"/>
      <c r="H46" s="770"/>
      <c r="I46" s="770"/>
      <c r="J46" s="770"/>
      <c r="K46" s="770"/>
      <c r="L46" s="771"/>
      <c r="N46" s="527" t="s">
        <v>430</v>
      </c>
      <c r="O46" s="749" t="str">
        <f>IF(config!D13="","UNDEFINED",config!D13)</f>
        <v>TP, 290m E of j/w Beckingham Rd</v>
      </c>
      <c r="P46" s="749"/>
      <c r="Q46" s="749"/>
    </row>
    <row r="47" spans="3:17" x14ac:dyDescent="0.25">
      <c r="C47" s="769"/>
      <c r="D47" s="770"/>
      <c r="E47" s="770"/>
      <c r="F47" s="770"/>
      <c r="G47" s="770"/>
      <c r="H47" s="770"/>
      <c r="I47" s="770"/>
      <c r="J47" s="770"/>
      <c r="K47" s="770"/>
      <c r="L47" s="771"/>
      <c r="N47" s="720" t="s">
        <v>437</v>
      </c>
      <c r="O47" s="721" t="str">
        <f>IFERROR(TEXT(config!D6, "ddd dd mmm") &amp;" to " &amp; TEXT(config!D6+(config!AC13-1), "ddd dd mmm") &amp; " inc.", "UNDEFINED")</f>
        <v>Tue 12 Jun to Mon 18 Jun inc.</v>
      </c>
      <c r="P47" s="721"/>
      <c r="Q47" s="721"/>
    </row>
    <row r="48" spans="3:17" ht="15" customHeight="1" x14ac:dyDescent="0.25">
      <c r="C48" s="769"/>
      <c r="D48" s="770"/>
      <c r="E48" s="770"/>
      <c r="F48" s="770"/>
      <c r="G48" s="770"/>
      <c r="H48" s="770"/>
      <c r="I48" s="770"/>
      <c r="J48" s="770"/>
      <c r="K48" s="770"/>
      <c r="L48" s="771"/>
      <c r="N48" s="525" t="s">
        <v>143</v>
      </c>
      <c r="O48" s="747" t="str">
        <f>IF(config!D14=0, "UNDEFINED",config!D14)</f>
        <v>587759, 212708</v>
      </c>
      <c r="P48" s="747"/>
      <c r="Q48" s="747"/>
    </row>
    <row r="49" spans="3:17" x14ac:dyDescent="0.25">
      <c r="C49" s="769"/>
      <c r="D49" s="770"/>
      <c r="E49" s="770"/>
      <c r="F49" s="770"/>
      <c r="G49" s="770"/>
      <c r="H49" s="770"/>
      <c r="I49" s="770"/>
      <c r="J49" s="770"/>
      <c r="K49" s="770"/>
      <c r="L49" s="771"/>
      <c r="N49" s="525" t="s">
        <v>429</v>
      </c>
      <c r="O49" s="747" t="str">
        <f>IF(config!D15=0,"UNDEFINED",config!D15)</f>
        <v>51.781525, 0.720540</v>
      </c>
      <c r="P49" s="747"/>
      <c r="Q49" s="747"/>
    </row>
    <row r="50" spans="3:17" x14ac:dyDescent="0.25">
      <c r="C50" s="769"/>
      <c r="D50" s="770"/>
      <c r="E50" s="770"/>
      <c r="F50" s="770"/>
      <c r="G50" s="770"/>
      <c r="H50" s="770"/>
      <c r="I50" s="770"/>
      <c r="J50" s="770"/>
      <c r="K50" s="770"/>
      <c r="L50" s="771"/>
      <c r="N50" s="757" t="s">
        <v>431</v>
      </c>
      <c r="O50" s="757"/>
      <c r="P50" s="775" t="str">
        <f ca="1">LEFT(config!D20, 8)</f>
        <v>18225-01</v>
      </c>
      <c r="Q50" s="775"/>
    </row>
    <row r="51" spans="3:17" x14ac:dyDescent="0.25">
      <c r="C51" s="769"/>
      <c r="D51" s="770"/>
      <c r="E51" s="770"/>
      <c r="F51" s="770"/>
      <c r="G51" s="770"/>
      <c r="H51" s="770"/>
      <c r="I51" s="770"/>
      <c r="J51" s="770"/>
      <c r="K51" s="770"/>
      <c r="L51" s="771"/>
      <c r="N51" s="525" t="s">
        <v>166</v>
      </c>
      <c r="O51" s="775" t="str">
        <f>config!D8&amp;"mph"</f>
        <v>60mph</v>
      </c>
      <c r="P51" s="775"/>
      <c r="Q51" s="775"/>
    </row>
    <row r="52" spans="3:17" x14ac:dyDescent="0.25">
      <c r="C52" s="769"/>
      <c r="D52" s="770"/>
      <c r="E52" s="770"/>
      <c r="F52" s="770"/>
      <c r="G52" s="770"/>
      <c r="H52" s="770"/>
      <c r="I52" s="770"/>
      <c r="J52" s="770"/>
      <c r="K52" s="770"/>
      <c r="L52" s="771"/>
      <c r="N52" s="525" t="s">
        <v>142</v>
      </c>
      <c r="O52" s="526"/>
      <c r="P52" s="526"/>
      <c r="Q52" s="526" t="str">
        <f>PROPER(config!D10)</f>
        <v>No</v>
      </c>
    </row>
    <row r="53" spans="3:17" x14ac:dyDescent="0.25">
      <c r="C53" s="769"/>
      <c r="D53" s="770"/>
      <c r="E53" s="770"/>
      <c r="F53" s="770"/>
      <c r="G53" s="770"/>
      <c r="H53" s="770"/>
      <c r="I53" s="770"/>
      <c r="J53" s="770"/>
      <c r="K53" s="770"/>
      <c r="L53" s="771"/>
      <c r="N53" s="525" t="s">
        <v>432</v>
      </c>
      <c r="O53" s="526"/>
      <c r="P53" s="526"/>
      <c r="Q53" s="526" t="str">
        <f>PROPER(config!CI5)&amp;" "&amp;config!CI17</f>
        <v>Eastbound →</v>
      </c>
    </row>
    <row r="54" spans="3:17" ht="15" customHeight="1" x14ac:dyDescent="0.25">
      <c r="C54" s="769"/>
      <c r="D54" s="770"/>
      <c r="E54" s="770"/>
      <c r="F54" s="770"/>
      <c r="G54" s="770"/>
      <c r="H54" s="770"/>
      <c r="I54" s="770"/>
      <c r="J54" s="770"/>
      <c r="K54" s="770"/>
      <c r="L54" s="771"/>
      <c r="N54" s="525" t="s">
        <v>433</v>
      </c>
      <c r="O54" s="526"/>
      <c r="P54" s="526"/>
      <c r="Q54" s="526" t="str">
        <f>config!CI18&amp;" "&amp;PROPER(config!CI6)</f>
        <v>← Westbound</v>
      </c>
    </row>
    <row r="55" spans="3:17" ht="121.5" customHeight="1" x14ac:dyDescent="0.25">
      <c r="C55" s="769"/>
      <c r="D55" s="770"/>
      <c r="E55" s="770"/>
      <c r="F55" s="770"/>
      <c r="G55" s="770"/>
      <c r="H55" s="770"/>
      <c r="I55" s="770"/>
      <c r="J55" s="770"/>
      <c r="K55" s="770"/>
      <c r="L55" s="771"/>
      <c r="M55" s="19"/>
      <c r="N55" s="764" t="str">
        <f>IF(config!D18&lt;&gt;"", "Reported incident(s): "&amp;config!D18, "")</f>
        <v/>
      </c>
      <c r="O55" s="764"/>
      <c r="P55" s="764"/>
      <c r="Q55" s="764"/>
    </row>
    <row r="56" spans="3:17" x14ac:dyDescent="0.25">
      <c r="C56" s="769"/>
      <c r="D56" s="770"/>
      <c r="E56" s="770"/>
      <c r="F56" s="770"/>
      <c r="G56" s="770"/>
      <c r="H56" s="770"/>
      <c r="I56" s="770"/>
      <c r="J56" s="770"/>
      <c r="K56" s="770"/>
      <c r="L56" s="771"/>
      <c r="M56" s="19"/>
      <c r="N56" s="764"/>
      <c r="O56" s="764"/>
      <c r="P56" s="764"/>
      <c r="Q56" s="764"/>
    </row>
    <row r="57" spans="3:17" x14ac:dyDescent="0.25">
      <c r="C57" s="769"/>
      <c r="D57" s="770"/>
      <c r="E57" s="770"/>
      <c r="F57" s="770"/>
      <c r="G57" s="770"/>
      <c r="H57" s="770"/>
      <c r="I57" s="770"/>
      <c r="J57" s="770"/>
      <c r="K57" s="770"/>
      <c r="L57" s="771"/>
      <c r="M57" s="19"/>
      <c r="N57" s="764"/>
      <c r="O57" s="764"/>
      <c r="P57" s="764"/>
      <c r="Q57" s="764"/>
    </row>
    <row r="58" spans="3:17" x14ac:dyDescent="0.25">
      <c r="C58" s="772"/>
      <c r="D58" s="773"/>
      <c r="E58" s="773"/>
      <c r="F58" s="773"/>
      <c r="G58" s="773"/>
      <c r="H58" s="773"/>
      <c r="I58" s="773"/>
      <c r="J58" s="773"/>
      <c r="K58" s="773"/>
      <c r="L58" s="774"/>
      <c r="M58" s="19"/>
      <c r="N58" s="764"/>
      <c r="O58" s="764"/>
      <c r="P58" s="764"/>
      <c r="Q58" s="764"/>
    </row>
    <row r="59" spans="3:17" x14ac:dyDescent="0.25">
      <c r="C59" s="19"/>
      <c r="D59" s="19"/>
      <c r="E59" s="19"/>
      <c r="F59" s="19"/>
      <c r="G59" s="19"/>
      <c r="H59" s="19"/>
      <c r="I59" s="173"/>
      <c r="K59" s="19"/>
      <c r="L59" s="236" t="s">
        <v>289</v>
      </c>
      <c r="M59" s="19"/>
      <c r="N59" s="19"/>
      <c r="O59" s="19"/>
      <c r="P59" s="19"/>
      <c r="Q59" s="173"/>
    </row>
    <row r="60" spans="3:17" ht="60" customHeight="1" x14ac:dyDescent="0.25">
      <c r="C60" s="19"/>
      <c r="D60" s="19"/>
      <c r="E60" s="19"/>
      <c r="F60" s="19"/>
      <c r="G60" s="19"/>
      <c r="H60" s="19"/>
      <c r="I60" s="173"/>
      <c r="K60" s="19"/>
      <c r="L60" s="735" t="str">
        <f ca="1">P50 &amp; " - " &amp; O45</f>
        <v>18225-01 - Plains Rd (W), Gt Totham</v>
      </c>
      <c r="M60" s="735"/>
      <c r="N60" s="735"/>
      <c r="O60" s="735"/>
      <c r="P60" s="735"/>
      <c r="Q60" s="735"/>
    </row>
    <row r="61" spans="3:17" s="210" customFormat="1" ht="75" customHeight="1" x14ac:dyDescent="0.4">
      <c r="C61" s="561" t="s">
        <v>424</v>
      </c>
      <c r="D61" s="213"/>
      <c r="E61" s="213"/>
      <c r="F61" s="213"/>
      <c r="G61" s="213"/>
      <c r="H61" s="213"/>
      <c r="I61" s="213"/>
    </row>
    <row r="62" spans="3:17" ht="26.25" x14ac:dyDescent="0.25">
      <c r="C62" s="23"/>
    </row>
    <row r="63" spans="3:17" ht="18.75" x14ac:dyDescent="0.25">
      <c r="D63" s="718"/>
      <c r="E63" s="718"/>
      <c r="F63" s="718"/>
      <c r="G63" s="718"/>
      <c r="I63" s="745" t="str">
        <f>IFERROR(config!CI17, "X")</f>
        <v>→</v>
      </c>
      <c r="L63" s="718"/>
      <c r="M63" s="718"/>
      <c r="N63" s="718"/>
      <c r="O63" s="718"/>
      <c r="Q63" s="752" t="str">
        <f>IFERROR(config!CI18, "X")</f>
        <v>←</v>
      </c>
    </row>
    <row r="64" spans="3:17" ht="18.75" x14ac:dyDescent="0.25">
      <c r="C64" s="718" t="str">
        <f>C28</f>
        <v>EASTBOUND</v>
      </c>
      <c r="D64" s="24"/>
      <c r="E64" s="24"/>
      <c r="I64" s="746"/>
      <c r="K64" s="718" t="str">
        <f>K28</f>
        <v>WESTBOUND</v>
      </c>
      <c r="L64" s="24"/>
      <c r="M64" s="24"/>
      <c r="Q64" s="753"/>
    </row>
    <row r="79" spans="3:20" ht="50.1" customHeight="1" x14ac:dyDescent="0.25">
      <c r="C79" s="737" t="str">
        <f>"Average hourly speeds (solid thin colours) and 85%ile (dashed black) compared against "&amp;config!D8&amp;"mph posted speed limit (dashed red). The 85%ile is the speed at which 85% of all vehicles are observed to travel under free flowing conditions."&amp;" A minimum of ten vehicles per speed bin is required for this calculation, hence the overnight low-volume 85%ile values may be zero."</f>
        <v>Average hourly speeds (solid thin colours) and 85%ile (dashed black) compared against 60mph posted speed limit (dashed red). The 85%ile is the speed at which 85% of all vehicles are observed to travel under free flowing conditions. A minimum of ten vehicles per speed bin is required for this calculation, hence the overnight low-volume 85%ile values may be zero.</v>
      </c>
      <c r="D79" s="737"/>
      <c r="E79" s="737"/>
      <c r="F79" s="737"/>
      <c r="G79" s="737"/>
      <c r="H79" s="737"/>
      <c r="I79" s="737"/>
      <c r="J79" s="737"/>
      <c r="K79" s="737"/>
      <c r="L79" s="737"/>
      <c r="M79" s="737"/>
      <c r="N79" s="737"/>
      <c r="O79" s="737"/>
      <c r="P79" s="737"/>
      <c r="Q79" s="737"/>
      <c r="T79" s="413"/>
    </row>
    <row r="80" spans="3:20" ht="39.950000000000003" customHeight="1" x14ac:dyDescent="0.25">
      <c r="C80" s="737" t="str">
        <f ca="1">"The peak average "&amp;LOWER(config!CI5)&amp;" daytime speed was "&amp;config!BF16&amp;"mph at "&amp;TEXT(config!BE16, "HH:mm")&amp;" on "&amp;TEXT(config!BD16, "ddd dd mmm")&amp;", whilst the peak average "&amp;LOWER(config!CI6)&amp;" speed was "&amp;config!BI16&amp;"mph at "&amp;TEXT(config!BH16, "HH:mm")&amp;" on "&amp;TEXT(config!BG16, "ddd dd mmm")&amp;" (based on 15min averages between 0700 &amp; 1900)."</f>
        <v>The peak average eastbound daytime speed was 50.6mph at 07:15 on Wed 13 Jun, whilst the peak average westbound speed was 49.9mph at 12:30 on Thu 14 Jun (based on 15min averages between 0700 &amp; 1900).</v>
      </c>
      <c r="D80" s="737"/>
      <c r="E80" s="737"/>
      <c r="F80" s="737"/>
      <c r="G80" s="737"/>
      <c r="H80" s="737"/>
      <c r="I80" s="737"/>
      <c r="J80" s="737"/>
      <c r="K80" s="737"/>
      <c r="L80" s="737"/>
      <c r="M80" s="737"/>
      <c r="N80" s="737"/>
      <c r="O80" s="737"/>
      <c r="P80" s="737"/>
      <c r="Q80" s="737"/>
      <c r="T80" s="413"/>
    </row>
    <row r="81" spans="3:17" s="210" customFormat="1" ht="75" customHeight="1" x14ac:dyDescent="0.4">
      <c r="C81" s="561" t="s">
        <v>240</v>
      </c>
      <c r="D81" s="213"/>
      <c r="E81" s="213"/>
      <c r="F81" s="213"/>
      <c r="G81" s="213"/>
      <c r="H81" s="213"/>
      <c r="I81" s="213"/>
    </row>
    <row r="82" spans="3:17" x14ac:dyDescent="0.25">
      <c r="C82" s="19"/>
      <c r="D82" s="19"/>
      <c r="E82" s="19"/>
      <c r="F82" s="19"/>
      <c r="G82" s="19"/>
      <c r="H82" s="19"/>
      <c r="I82" s="22"/>
      <c r="K82" s="19"/>
      <c r="L82" s="19"/>
      <c r="M82" s="19"/>
      <c r="N82" s="19"/>
      <c r="O82" s="19"/>
      <c r="P82" s="19"/>
      <c r="Q82" s="214"/>
    </row>
    <row r="83" spans="3:17" ht="18.75" customHeight="1" x14ac:dyDescent="0.25">
      <c r="D83" s="718"/>
      <c r="E83" s="718"/>
      <c r="F83" s="718"/>
      <c r="G83" s="718"/>
      <c r="I83" s="745" t="str">
        <f>IFERROR(config!CI17, "X")</f>
        <v>→</v>
      </c>
      <c r="Q83" s="752" t="str">
        <f>IFERROR(config!CI18, "X")</f>
        <v>←</v>
      </c>
    </row>
    <row r="84" spans="3:17" ht="18.75" customHeight="1" x14ac:dyDescent="0.25">
      <c r="C84" s="718" t="str">
        <f>C28</f>
        <v>EASTBOUND</v>
      </c>
      <c r="D84" s="19"/>
      <c r="E84" s="19"/>
      <c r="F84" s="19"/>
      <c r="G84" s="19"/>
      <c r="H84" s="19"/>
      <c r="I84" s="746"/>
      <c r="K84" s="765" t="str">
        <f>K28</f>
        <v>WESTBOUND</v>
      </c>
      <c r="L84" s="765"/>
      <c r="M84" s="765"/>
      <c r="N84" s="765"/>
      <c r="O84" s="765"/>
      <c r="P84" s="19"/>
      <c r="Q84" s="753"/>
    </row>
    <row r="85" spans="3:17" x14ac:dyDescent="0.25">
      <c r="C85" s="19"/>
      <c r="D85" s="19"/>
      <c r="E85" s="19"/>
      <c r="F85" s="19"/>
      <c r="G85" s="19"/>
      <c r="H85" s="19"/>
      <c r="I85" s="22"/>
      <c r="K85" s="19"/>
      <c r="L85" s="19"/>
      <c r="M85" s="19"/>
      <c r="N85" s="19"/>
      <c r="O85" s="19"/>
      <c r="P85" s="19"/>
      <c r="Q85" s="214"/>
    </row>
    <row r="86" spans="3:17" x14ac:dyDescent="0.25">
      <c r="C86" s="19"/>
      <c r="D86" s="19"/>
      <c r="E86" s="19"/>
      <c r="F86" s="19"/>
      <c r="G86" s="19"/>
      <c r="H86" s="19"/>
      <c r="I86" s="22"/>
      <c r="K86" s="19"/>
      <c r="L86" s="19"/>
      <c r="M86" s="19"/>
      <c r="N86" s="19"/>
      <c r="O86" s="19"/>
      <c r="P86" s="19"/>
      <c r="Q86" s="214"/>
    </row>
    <row r="87" spans="3:17" x14ac:dyDescent="0.25">
      <c r="C87" s="19"/>
      <c r="D87" s="19"/>
      <c r="E87" s="19"/>
      <c r="F87" s="19"/>
      <c r="G87" s="19"/>
      <c r="H87" s="19"/>
      <c r="I87" s="22"/>
      <c r="K87" s="19"/>
      <c r="L87" s="19"/>
      <c r="M87" s="19"/>
      <c r="N87" s="19"/>
      <c r="O87" s="19"/>
      <c r="P87" s="19"/>
      <c r="Q87" s="214"/>
    </row>
    <row r="88" spans="3:17" x14ac:dyDescent="0.25">
      <c r="C88" s="19"/>
      <c r="D88" s="19"/>
      <c r="E88" s="19"/>
      <c r="F88" s="19"/>
      <c r="G88" s="19"/>
      <c r="H88" s="19"/>
      <c r="I88" s="22"/>
      <c r="K88" s="19"/>
      <c r="L88" s="19"/>
      <c r="M88" s="19"/>
      <c r="N88" s="19"/>
      <c r="O88" s="19"/>
      <c r="P88" s="19"/>
      <c r="Q88" s="214"/>
    </row>
    <row r="89" spans="3:17" x14ac:dyDescent="0.25">
      <c r="C89" s="19"/>
      <c r="D89" s="19"/>
      <c r="E89" s="19"/>
      <c r="F89" s="19"/>
      <c r="G89" s="19"/>
      <c r="H89" s="19"/>
      <c r="I89" s="22"/>
      <c r="K89" s="19"/>
      <c r="L89" s="19"/>
      <c r="M89" s="19"/>
      <c r="N89" s="19"/>
      <c r="O89" s="19"/>
      <c r="P89" s="19"/>
      <c r="Q89" s="214"/>
    </row>
    <row r="90" spans="3:17" x14ac:dyDescent="0.25">
      <c r="C90" s="19"/>
      <c r="D90" s="19"/>
      <c r="E90" s="19"/>
      <c r="F90" s="19"/>
      <c r="G90" s="19"/>
      <c r="H90" s="19"/>
      <c r="I90" s="22"/>
      <c r="K90" s="19"/>
      <c r="L90" s="19"/>
      <c r="M90" s="19"/>
      <c r="N90" s="19"/>
      <c r="O90" s="19"/>
      <c r="P90" s="19"/>
      <c r="Q90" s="214"/>
    </row>
    <row r="91" spans="3:17" x14ac:dyDescent="0.25">
      <c r="C91" s="19"/>
      <c r="D91" s="19"/>
      <c r="E91" s="19"/>
      <c r="F91" s="19"/>
      <c r="G91" s="19"/>
      <c r="H91" s="19"/>
      <c r="I91" s="22"/>
      <c r="K91" s="19"/>
      <c r="L91" s="19"/>
      <c r="M91" s="19"/>
      <c r="N91" s="19"/>
      <c r="O91" s="19"/>
      <c r="P91" s="19"/>
      <c r="Q91" s="214"/>
    </row>
    <row r="92" spans="3:17" x14ac:dyDescent="0.25">
      <c r="C92" s="19"/>
      <c r="D92" s="19"/>
      <c r="E92" s="19"/>
      <c r="F92" s="19"/>
      <c r="G92" s="19"/>
      <c r="H92" s="19"/>
      <c r="I92" s="22"/>
      <c r="K92" s="19"/>
      <c r="L92" s="19"/>
      <c r="M92" s="19"/>
      <c r="N92" s="19"/>
      <c r="O92" s="19"/>
      <c r="P92" s="19"/>
      <c r="Q92" s="214"/>
    </row>
    <row r="93" spans="3:17" x14ac:dyDescent="0.25">
      <c r="C93" s="19"/>
      <c r="D93" s="19"/>
      <c r="E93" s="19"/>
      <c r="F93" s="19"/>
      <c r="G93" s="19"/>
      <c r="H93" s="19"/>
      <c r="I93" s="22"/>
      <c r="K93" s="19"/>
      <c r="L93" s="19"/>
      <c r="M93" s="19"/>
      <c r="N93" s="19"/>
      <c r="O93" s="19"/>
      <c r="P93" s="19"/>
      <c r="Q93" s="214"/>
    </row>
    <row r="94" spans="3:17" x14ac:dyDescent="0.25">
      <c r="C94" s="19"/>
      <c r="D94" s="19"/>
      <c r="E94" s="19"/>
      <c r="F94" s="19"/>
      <c r="G94" s="19"/>
      <c r="H94" s="19"/>
      <c r="I94" s="22"/>
      <c r="K94" s="19"/>
      <c r="L94" s="19"/>
      <c r="M94" s="19"/>
      <c r="N94" s="19"/>
      <c r="O94" s="19"/>
      <c r="P94" s="19"/>
      <c r="Q94" s="214"/>
    </row>
    <row r="95" spans="3:17" x14ac:dyDescent="0.25">
      <c r="C95" s="19"/>
      <c r="D95" s="19"/>
      <c r="E95" s="19"/>
      <c r="F95" s="19"/>
      <c r="G95" s="19"/>
      <c r="H95" s="19"/>
      <c r="I95" s="22"/>
      <c r="K95" s="19"/>
      <c r="L95" s="19"/>
      <c r="M95" s="19"/>
      <c r="N95" s="19"/>
      <c r="O95" s="19"/>
      <c r="P95" s="19"/>
      <c r="Q95" s="214"/>
    </row>
    <row r="96" spans="3:17" x14ac:dyDescent="0.25">
      <c r="C96" s="19"/>
      <c r="D96" s="19"/>
      <c r="E96" s="19"/>
      <c r="F96" s="19"/>
      <c r="G96" s="19"/>
      <c r="H96" s="19"/>
      <c r="I96" s="22"/>
      <c r="K96" s="19"/>
      <c r="L96" s="19"/>
      <c r="M96" s="19"/>
      <c r="N96" s="19"/>
      <c r="O96" s="19"/>
      <c r="P96" s="19"/>
      <c r="Q96" s="214"/>
    </row>
    <row r="97" spans="3:20" x14ac:dyDescent="0.25">
      <c r="C97" s="19"/>
      <c r="D97" s="19"/>
      <c r="E97" s="19"/>
      <c r="F97" s="19"/>
      <c r="G97" s="19"/>
      <c r="H97" s="19"/>
      <c r="I97" s="22"/>
      <c r="K97" s="19"/>
      <c r="L97" s="19"/>
      <c r="M97" s="19"/>
      <c r="N97" s="19"/>
      <c r="O97" s="19"/>
      <c r="P97" s="19"/>
      <c r="Q97" s="214"/>
    </row>
    <row r="98" spans="3:20" ht="30" customHeight="1" x14ac:dyDescent="0.25">
      <c r="C98" s="743" t="str">
        <f>"Hourly "&amp;LOWER(config!CI5)&amp;" traffic volumes over each 24hr period for "&amp;config!AC13&amp;" days from all available data."</f>
        <v>Hourly eastbound traffic volumes over each 24hr period for 7 days from all available data.</v>
      </c>
      <c r="D98" s="743"/>
      <c r="E98" s="743"/>
      <c r="F98" s="743"/>
      <c r="G98" s="743"/>
      <c r="H98" s="743"/>
      <c r="J98" s="438"/>
      <c r="K98" s="758" t="str">
        <f>"Hourly "&amp;LOWER(config!CI6)&amp;" traffic volumes over each 24hr period for "&amp;config!AC13&amp;" days from all available data."</f>
        <v>Hourly westbound traffic volumes over each 24hr period for 7 days from all available data.</v>
      </c>
      <c r="L98" s="758"/>
      <c r="M98" s="758"/>
      <c r="N98" s="758"/>
      <c r="O98" s="758"/>
      <c r="P98" s="758"/>
      <c r="T98" s="413"/>
    </row>
    <row r="99" spans="3:20" ht="75" customHeight="1" x14ac:dyDescent="0.4">
      <c r="C99" s="561" t="s">
        <v>390</v>
      </c>
      <c r="D99" s="213"/>
      <c r="E99" s="213"/>
      <c r="F99" s="213"/>
      <c r="G99" s="213"/>
      <c r="H99" s="213"/>
      <c r="I99" s="213"/>
      <c r="J99" s="433"/>
      <c r="K99" s="433"/>
      <c r="L99" s="433"/>
      <c r="M99" s="433"/>
      <c r="N99" s="433"/>
      <c r="O99" s="433"/>
      <c r="P99" s="433"/>
      <c r="Q99" s="433"/>
      <c r="T99" s="413"/>
    </row>
    <row r="100" spans="3:20" ht="30" customHeight="1" x14ac:dyDescent="0.25">
      <c r="C100" s="433"/>
      <c r="D100" s="433"/>
      <c r="E100" s="433"/>
      <c r="F100" s="433"/>
      <c r="G100" s="433"/>
      <c r="H100" s="433"/>
      <c r="I100" s="433"/>
      <c r="J100" s="433"/>
      <c r="K100" s="433"/>
      <c r="L100" s="433"/>
      <c r="M100" s="433"/>
      <c r="N100" s="433"/>
      <c r="O100" s="433"/>
      <c r="P100" s="433"/>
      <c r="Q100" s="433"/>
      <c r="T100" s="413"/>
    </row>
    <row r="101" spans="3:20" ht="30" customHeight="1" x14ac:dyDescent="0.25">
      <c r="C101" s="433"/>
      <c r="D101" s="433"/>
      <c r="E101" s="433"/>
      <c r="F101" s="433"/>
      <c r="G101" s="433"/>
      <c r="H101" s="433"/>
      <c r="I101" s="433"/>
      <c r="J101" s="433"/>
      <c r="K101" s="433"/>
      <c r="L101" s="433"/>
      <c r="M101" s="433"/>
      <c r="N101" s="433"/>
      <c r="O101" s="433"/>
      <c r="P101" s="433"/>
      <c r="Q101" s="433"/>
      <c r="T101" s="413"/>
    </row>
    <row r="102" spans="3:20" ht="30" customHeight="1" x14ac:dyDescent="0.25">
      <c r="C102" s="433"/>
      <c r="D102" s="433"/>
      <c r="E102" s="433"/>
      <c r="F102" s="433"/>
      <c r="G102" s="433"/>
      <c r="H102" s="433"/>
      <c r="I102" s="433"/>
      <c r="J102" s="433"/>
      <c r="K102" s="433"/>
      <c r="L102" s="433"/>
      <c r="M102" s="433"/>
      <c r="N102" s="433"/>
      <c r="O102" s="433"/>
      <c r="P102" s="433"/>
      <c r="Q102" s="433"/>
      <c r="T102" s="413"/>
    </row>
    <row r="103" spans="3:20" ht="30" customHeight="1" x14ac:dyDescent="0.25">
      <c r="C103" s="433"/>
      <c r="D103" s="433"/>
      <c r="E103" s="433"/>
      <c r="F103" s="433"/>
      <c r="G103" s="433"/>
      <c r="H103" s="433"/>
      <c r="I103" s="433"/>
      <c r="J103" s="433"/>
      <c r="K103" s="433"/>
      <c r="L103" s="433"/>
      <c r="M103" s="433"/>
      <c r="N103" s="433"/>
      <c r="O103" s="433"/>
      <c r="P103" s="433"/>
      <c r="Q103" s="433"/>
      <c r="T103" s="413"/>
    </row>
    <row r="104" spans="3:20" ht="30" customHeight="1" x14ac:dyDescent="0.25">
      <c r="C104" s="433"/>
      <c r="D104" s="433"/>
      <c r="E104" s="433"/>
      <c r="F104" s="433"/>
      <c r="G104" s="433"/>
      <c r="H104" s="433"/>
      <c r="I104" s="433"/>
      <c r="J104" s="433"/>
      <c r="K104" s="433"/>
      <c r="L104" s="433"/>
      <c r="M104" s="433"/>
      <c r="N104" s="433"/>
      <c r="O104" s="433"/>
      <c r="P104" s="433"/>
      <c r="Q104" s="433"/>
      <c r="T104" s="413"/>
    </row>
    <row r="105" spans="3:20" ht="30" customHeight="1" x14ac:dyDescent="0.25">
      <c r="C105" s="433"/>
      <c r="D105" s="433"/>
      <c r="E105" s="433"/>
      <c r="F105" s="433"/>
      <c r="G105" s="433"/>
      <c r="H105" s="433"/>
      <c r="I105" s="433"/>
      <c r="J105" s="433"/>
      <c r="K105" s="433"/>
      <c r="L105" s="433"/>
      <c r="M105" s="433"/>
      <c r="N105" s="433"/>
      <c r="O105" s="433"/>
      <c r="P105" s="433"/>
      <c r="Q105" s="433"/>
      <c r="T105" s="413"/>
    </row>
    <row r="106" spans="3:20" ht="30" customHeight="1" x14ac:dyDescent="0.25">
      <c r="C106" s="433"/>
      <c r="D106" s="433"/>
      <c r="E106" s="433"/>
      <c r="F106" s="433"/>
      <c r="G106" s="433"/>
      <c r="H106" s="433"/>
      <c r="I106" s="433"/>
      <c r="J106" s="433"/>
      <c r="K106" s="433"/>
      <c r="L106" s="433"/>
      <c r="M106" s="433"/>
      <c r="N106" s="433"/>
      <c r="O106" s="433"/>
      <c r="P106" s="433"/>
      <c r="Q106" s="433"/>
      <c r="T106" s="413"/>
    </row>
    <row r="107" spans="3:20" ht="15" customHeight="1" x14ac:dyDescent="0.25">
      <c r="C107" s="745" t="str">
        <f>IFERROR(config!CI17, "X")</f>
        <v>→</v>
      </c>
      <c r="D107" s="433"/>
      <c r="E107" s="433"/>
      <c r="F107" s="433"/>
      <c r="G107" s="433"/>
      <c r="H107" s="433"/>
      <c r="I107" s="433"/>
      <c r="J107" s="433"/>
      <c r="K107" s="433"/>
      <c r="L107" s="433"/>
      <c r="M107" s="433"/>
      <c r="N107" s="433"/>
      <c r="O107" s="433"/>
      <c r="P107" s="433"/>
      <c r="Q107" s="433"/>
      <c r="T107" s="413"/>
    </row>
    <row r="108" spans="3:20" ht="30" customHeight="1" x14ac:dyDescent="0.25">
      <c r="C108" s="746"/>
      <c r="D108" s="743" t="str">
        <f>"15min daily "&amp;LOWER(config!CI5)&amp;" flows (blue), against the average speed (red) and 85%ile (dotted black) for each 15min period over the "&amp;config!AC13&amp;"-day period."</f>
        <v>15min daily eastbound flows (blue), against the average speed (red) and 85%ile (dotted black) for each 15min period over the 7-day period.</v>
      </c>
      <c r="E108" s="743"/>
      <c r="F108" s="743"/>
      <c r="G108" s="743"/>
      <c r="H108" s="743"/>
      <c r="I108" s="743"/>
      <c r="J108" s="743"/>
      <c r="K108" s="743"/>
      <c r="L108" s="743"/>
      <c r="M108" s="743"/>
      <c r="N108" s="484"/>
      <c r="O108" s="484"/>
      <c r="P108" s="484"/>
      <c r="Q108" s="484"/>
      <c r="T108" s="413"/>
    </row>
    <row r="109" spans="3:20" ht="30" customHeight="1" x14ac:dyDescent="0.25">
      <c r="C109" s="485"/>
      <c r="D109" s="486"/>
      <c r="E109" s="486"/>
      <c r="F109" s="486"/>
      <c r="G109" s="486"/>
      <c r="H109" s="486"/>
      <c r="I109" s="486"/>
      <c r="J109" s="486"/>
      <c r="K109" s="486"/>
      <c r="L109" s="486"/>
      <c r="M109" s="486"/>
      <c r="N109" s="484"/>
      <c r="O109" s="484"/>
      <c r="P109" s="484"/>
      <c r="Q109" s="484"/>
      <c r="T109" s="413"/>
    </row>
    <row r="110" spans="3:20" ht="30" customHeight="1" x14ac:dyDescent="0.25">
      <c r="C110" s="433"/>
      <c r="D110" s="433"/>
      <c r="E110" s="433"/>
      <c r="F110" s="433"/>
      <c r="G110" s="433"/>
      <c r="H110" s="433"/>
      <c r="I110" s="433"/>
      <c r="J110" s="433"/>
      <c r="K110" s="433"/>
      <c r="L110" s="433"/>
      <c r="M110" s="433"/>
      <c r="N110" s="433"/>
      <c r="O110" s="433"/>
      <c r="P110" s="433"/>
      <c r="Q110" s="433"/>
      <c r="T110" s="413"/>
    </row>
    <row r="111" spans="3:20" ht="30" customHeight="1" x14ac:dyDescent="0.25">
      <c r="C111" s="433"/>
      <c r="D111" s="433"/>
      <c r="E111" s="433"/>
      <c r="F111" s="433"/>
      <c r="G111" s="433"/>
      <c r="H111" s="433"/>
      <c r="I111" s="433"/>
      <c r="J111" s="433"/>
      <c r="K111" s="433"/>
      <c r="L111" s="433"/>
      <c r="M111" s="433"/>
      <c r="N111" s="433"/>
      <c r="O111" s="433"/>
      <c r="P111" s="433"/>
      <c r="Q111" s="433"/>
      <c r="T111" s="413"/>
    </row>
    <row r="112" spans="3:20" ht="30" customHeight="1" x14ac:dyDescent="0.25">
      <c r="C112" s="433"/>
      <c r="D112" s="433"/>
      <c r="E112" s="433"/>
      <c r="F112" s="433"/>
      <c r="G112" s="433"/>
      <c r="H112" s="433"/>
      <c r="I112" s="433"/>
      <c r="J112" s="433"/>
      <c r="K112" s="433"/>
      <c r="L112" s="433"/>
      <c r="M112" s="433"/>
      <c r="N112" s="433"/>
      <c r="O112" s="433"/>
      <c r="P112" s="433"/>
      <c r="Q112" s="433"/>
      <c r="T112" s="413"/>
    </row>
    <row r="113" spans="3:20" ht="30" customHeight="1" x14ac:dyDescent="0.25">
      <c r="C113" s="433"/>
      <c r="D113" s="433"/>
      <c r="E113" s="433"/>
      <c r="F113" s="433"/>
      <c r="G113" s="433"/>
      <c r="H113" s="433"/>
      <c r="I113" s="433"/>
      <c r="J113" s="433"/>
      <c r="K113" s="433"/>
      <c r="L113" s="433"/>
      <c r="M113" s="433"/>
      <c r="N113" s="433"/>
      <c r="O113" s="433"/>
      <c r="P113" s="433"/>
      <c r="Q113" s="433"/>
      <c r="T113" s="413"/>
    </row>
    <row r="114" spans="3:20" ht="30" customHeight="1" x14ac:dyDescent="0.25">
      <c r="C114" s="433"/>
      <c r="D114" s="433"/>
      <c r="E114" s="433"/>
      <c r="F114" s="433"/>
      <c r="G114" s="433"/>
      <c r="H114" s="433"/>
      <c r="I114" s="433"/>
      <c r="J114" s="433"/>
      <c r="K114" s="433"/>
      <c r="L114" s="433"/>
      <c r="M114" s="433"/>
      <c r="N114" s="433"/>
      <c r="O114" s="433"/>
      <c r="P114" s="433"/>
      <c r="Q114" s="433"/>
      <c r="T114" s="413"/>
    </row>
    <row r="115" spans="3:20" ht="30" customHeight="1" x14ac:dyDescent="0.25">
      <c r="C115" s="433"/>
      <c r="D115" s="433"/>
      <c r="E115" s="433"/>
      <c r="F115" s="433"/>
      <c r="G115" s="433"/>
      <c r="H115" s="433"/>
      <c r="I115" s="433"/>
      <c r="J115" s="433"/>
      <c r="K115" s="433"/>
      <c r="L115" s="433"/>
      <c r="M115" s="433"/>
      <c r="N115" s="433"/>
      <c r="O115" s="433"/>
      <c r="P115" s="433"/>
      <c r="Q115" s="433"/>
      <c r="T115" s="413"/>
    </row>
    <row r="116" spans="3:20" ht="30" customHeight="1" x14ac:dyDescent="0.25">
      <c r="C116" s="433"/>
      <c r="D116" s="433"/>
      <c r="E116" s="433"/>
      <c r="F116" s="433"/>
      <c r="G116" s="433"/>
      <c r="H116" s="433"/>
      <c r="I116" s="433"/>
      <c r="J116" s="433"/>
      <c r="K116" s="433"/>
      <c r="L116" s="433"/>
      <c r="M116" s="433"/>
      <c r="N116" s="433"/>
      <c r="O116" s="433"/>
      <c r="P116" s="433"/>
      <c r="Q116" s="433"/>
      <c r="T116" s="413"/>
    </row>
    <row r="117" spans="3:20" ht="15" customHeight="1" x14ac:dyDescent="0.25">
      <c r="C117" s="433"/>
      <c r="D117" s="433"/>
      <c r="E117" s="433"/>
      <c r="F117" s="433"/>
      <c r="G117" s="433"/>
      <c r="H117" s="433"/>
      <c r="I117" s="433"/>
      <c r="J117" s="433"/>
      <c r="K117" s="433"/>
      <c r="L117" s="433"/>
      <c r="M117" s="433"/>
      <c r="N117" s="433"/>
      <c r="O117" s="433"/>
      <c r="P117" s="433"/>
      <c r="Q117" s="752" t="str">
        <f>IFERROR(config!CI18, "X")</f>
        <v>←</v>
      </c>
      <c r="T117" s="413"/>
    </row>
    <row r="118" spans="3:20" ht="30" customHeight="1" x14ac:dyDescent="0.25">
      <c r="C118" s="438"/>
      <c r="D118" s="438"/>
      <c r="E118" s="438"/>
      <c r="F118" s="438"/>
      <c r="G118" s="744" t="str">
        <f>"15min daily "&amp;LOWER(config!CI6)&amp;" flows (orange), against the average weekly speed (red) and 85%ile (dotted black) for each 15min period over the "&amp;config!AC13&amp;"-day period."</f>
        <v>15min daily westbound flows (orange), against the average weekly speed (red) and 85%ile (dotted black) for each 15min period over the 7-day period.</v>
      </c>
      <c r="H118" s="744"/>
      <c r="I118" s="744"/>
      <c r="J118" s="744"/>
      <c r="K118" s="744"/>
      <c r="L118" s="744"/>
      <c r="M118" s="744"/>
      <c r="N118" s="744"/>
      <c r="O118" s="744"/>
      <c r="P118" s="744"/>
      <c r="Q118" s="753"/>
      <c r="T118" s="413"/>
    </row>
    <row r="119" spans="3:20" ht="60" customHeight="1" x14ac:dyDescent="0.25">
      <c r="C119" s="19"/>
      <c r="D119" s="19"/>
      <c r="E119" s="19"/>
      <c r="F119" s="19"/>
      <c r="G119" s="19"/>
      <c r="H119" s="19"/>
      <c r="I119" s="22"/>
      <c r="K119" s="19"/>
      <c r="L119" s="735" t="str">
        <f ca="1">L60</f>
        <v>18225-01 - Plains Rd (W), Gt Totham</v>
      </c>
      <c r="M119" s="735"/>
      <c r="N119" s="735"/>
      <c r="O119" s="735"/>
      <c r="P119" s="735"/>
      <c r="Q119" s="735"/>
    </row>
    <row r="120" spans="3:20" s="210" customFormat="1" ht="75" customHeight="1" x14ac:dyDescent="0.4">
      <c r="C120" s="561" t="s">
        <v>237</v>
      </c>
      <c r="D120" s="213"/>
      <c r="E120" s="213"/>
      <c r="F120" s="213"/>
      <c r="G120" s="213"/>
      <c r="H120" s="213"/>
      <c r="I120" s="213"/>
      <c r="J120" s="174"/>
      <c r="K120" s="174"/>
      <c r="L120" s="174"/>
      <c r="M120" s="174"/>
      <c r="N120" s="174"/>
      <c r="O120" s="174"/>
      <c r="P120" s="174"/>
      <c r="Q120" s="174"/>
    </row>
    <row r="121" spans="3:20" ht="15" customHeight="1" x14ac:dyDescent="0.25">
      <c r="C121" s="195"/>
      <c r="D121" s="195"/>
      <c r="E121" s="195"/>
      <c r="F121" s="195"/>
      <c r="G121" s="195"/>
      <c r="H121" s="195"/>
      <c r="I121" s="195"/>
      <c r="J121" s="195"/>
      <c r="K121" s="195"/>
      <c r="L121" s="195"/>
      <c r="M121" s="195"/>
      <c r="N121" s="195"/>
      <c r="O121" s="195"/>
      <c r="P121" s="195"/>
      <c r="Q121" s="195"/>
    </row>
    <row r="122" spans="3:20" ht="18.75" customHeight="1" x14ac:dyDescent="0.25">
      <c r="C122" s="718" t="str">
        <f>UPPER(config!D11&amp;" &amp; "&amp;config!D12&amp;"bound")</f>
        <v>EAST &amp; WESTBOUND</v>
      </c>
      <c r="D122" s="718"/>
      <c r="E122" s="718"/>
      <c r="F122" s="718"/>
      <c r="G122" s="718"/>
      <c r="H122" s="420"/>
      <c r="I122" s="420"/>
      <c r="J122" s="269"/>
      <c r="K122" s="269"/>
      <c r="L122" s="269"/>
      <c r="M122" s="269"/>
      <c r="N122" s="269"/>
      <c r="O122" s="269"/>
      <c r="P122" s="269"/>
      <c r="Q122" s="269"/>
    </row>
    <row r="123" spans="3:20" ht="15" customHeight="1" x14ac:dyDescent="0.25">
      <c r="C123" s="269"/>
      <c r="D123" s="269"/>
      <c r="E123" s="269"/>
      <c r="F123" s="269"/>
      <c r="G123" s="269"/>
      <c r="H123" s="269"/>
      <c r="I123" s="269"/>
      <c r="J123" s="269"/>
      <c r="K123" s="269"/>
      <c r="L123" s="269"/>
      <c r="M123" s="269"/>
      <c r="N123" s="269"/>
      <c r="O123" s="269"/>
      <c r="P123" s="269"/>
      <c r="Q123" s="269"/>
    </row>
    <row r="124" spans="3:20" ht="15" customHeight="1" x14ac:dyDescent="0.25">
      <c r="C124" s="19"/>
      <c r="D124" s="19"/>
      <c r="E124" s="19"/>
      <c r="F124" s="19"/>
      <c r="G124" s="19"/>
      <c r="H124" s="19"/>
      <c r="I124" s="22"/>
      <c r="K124" s="748" t="str">
        <f>"Total 24hr "&amp;LOWER(config!CI5)&amp;" (blue) and "&amp;LOWER(config!CI6)&amp;" (orange) traffic volumes over "&amp;config!AC13&amp;" consecutive days from all available data."</f>
        <v>Total 24hr eastbound (blue) and westbound (orange) traffic volumes over 7 consecutive days from all available data.</v>
      </c>
      <c r="L124" s="748"/>
      <c r="M124" s="748"/>
      <c r="N124" s="748"/>
      <c r="O124" s="748"/>
      <c r="P124" s="748"/>
      <c r="Q124" s="748"/>
    </row>
    <row r="125" spans="3:20" x14ac:dyDescent="0.25">
      <c r="C125" s="19"/>
      <c r="D125" s="19"/>
      <c r="E125" s="19"/>
      <c r="F125" s="19"/>
      <c r="G125" s="19"/>
      <c r="H125" s="19"/>
      <c r="I125" s="22"/>
      <c r="K125" s="748"/>
      <c r="L125" s="748"/>
      <c r="M125" s="748"/>
      <c r="N125" s="748"/>
      <c r="O125" s="748"/>
      <c r="P125" s="748"/>
      <c r="Q125" s="748"/>
    </row>
    <row r="126" spans="3:20" x14ac:dyDescent="0.25">
      <c r="C126" s="19"/>
      <c r="D126" s="19"/>
      <c r="E126" s="19"/>
      <c r="F126" s="19"/>
      <c r="G126" s="19"/>
      <c r="H126" s="19"/>
      <c r="I126" s="22"/>
      <c r="K126" s="748"/>
      <c r="L126" s="748"/>
      <c r="M126" s="748"/>
      <c r="N126" s="748"/>
      <c r="O126" s="748"/>
      <c r="P126" s="748"/>
      <c r="Q126" s="748"/>
    </row>
    <row r="127" spans="3:20" x14ac:dyDescent="0.25">
      <c r="C127" s="19"/>
      <c r="D127" s="19"/>
      <c r="E127" s="19"/>
      <c r="F127" s="19"/>
      <c r="G127" s="19"/>
      <c r="H127" s="19"/>
      <c r="I127" s="22"/>
      <c r="K127" s="748"/>
      <c r="L127" s="748"/>
      <c r="M127" s="748"/>
      <c r="N127" s="748"/>
      <c r="O127" s="748"/>
      <c r="P127" s="748"/>
      <c r="Q127" s="748"/>
    </row>
    <row r="128" spans="3:20" x14ac:dyDescent="0.25">
      <c r="C128" s="19"/>
      <c r="D128" s="19"/>
      <c r="E128" s="19"/>
      <c r="F128" s="19"/>
      <c r="G128" s="19"/>
      <c r="H128" s="19"/>
      <c r="I128" s="22"/>
      <c r="K128" s="748" t="str">
        <f>IF(config!AC13 = 7, IF(WEEKDAY(config!CL13) = 1, "As can be expected, the lowest volumes were recorded on the Sunday, whilst the highest was on the "&amp;TEXT(config!CL14, "dddd")&amp;".", "Unusually, the lowest volumes were NOT recorded on a Sunday but on the "&amp;TEXT(config!CL13, "dddd")&amp;", whilst the highest was on the "&amp;TEXT(config!CL14, "dddd")&amp;"."), "Data loss prevents a full seven days' being displayed.")</f>
        <v>As can be expected, the lowest volumes were recorded on the Sunday, whilst the highest was on the Friday.</v>
      </c>
      <c r="L128" s="748"/>
      <c r="M128" s="748"/>
      <c r="N128" s="748"/>
      <c r="O128" s="748"/>
      <c r="P128" s="748"/>
      <c r="Q128" s="748"/>
    </row>
    <row r="129" spans="3:27" x14ac:dyDescent="0.25">
      <c r="C129" s="19"/>
      <c r="D129" s="19"/>
      <c r="E129" s="19"/>
      <c r="F129" s="19"/>
      <c r="G129" s="19"/>
      <c r="H129" s="19"/>
      <c r="I129" s="22"/>
      <c r="K129" s="748"/>
      <c r="L129" s="748"/>
      <c r="M129" s="748"/>
      <c r="N129" s="748"/>
      <c r="O129" s="748"/>
      <c r="P129" s="748"/>
      <c r="Q129" s="748"/>
    </row>
    <row r="130" spans="3:27" x14ac:dyDescent="0.25">
      <c r="C130" s="19"/>
      <c r="D130" s="19"/>
      <c r="E130" s="19"/>
      <c r="F130" s="19"/>
      <c r="G130" s="19"/>
      <c r="H130" s="19"/>
      <c r="I130" s="22"/>
      <c r="K130" s="748"/>
      <c r="L130" s="748"/>
      <c r="M130" s="748"/>
      <c r="N130" s="748"/>
      <c r="O130" s="748"/>
      <c r="P130" s="748"/>
      <c r="Q130" s="748"/>
    </row>
    <row r="131" spans="3:27" x14ac:dyDescent="0.25">
      <c r="C131" s="19"/>
      <c r="D131" s="19"/>
      <c r="E131" s="19"/>
      <c r="F131" s="19"/>
      <c r="G131" s="19"/>
      <c r="H131" s="19"/>
      <c r="I131" s="22"/>
      <c r="K131" s="748"/>
      <c r="L131" s="748"/>
      <c r="M131" s="748"/>
      <c r="N131" s="748"/>
      <c r="O131" s="748"/>
      <c r="P131" s="748"/>
      <c r="Q131" s="748"/>
    </row>
    <row r="132" spans="3:27" x14ac:dyDescent="0.25">
      <c r="C132" s="19"/>
      <c r="D132" s="19"/>
      <c r="E132" s="19"/>
      <c r="F132" s="19"/>
      <c r="G132" s="19"/>
      <c r="H132" s="19"/>
      <c r="I132" s="22"/>
      <c r="K132" s="748"/>
      <c r="L132" s="748"/>
      <c r="M132" s="748"/>
      <c r="N132" s="748"/>
      <c r="O132" s="748"/>
      <c r="P132" s="748"/>
      <c r="Q132" s="748"/>
    </row>
    <row r="133" spans="3:27" x14ac:dyDescent="0.25">
      <c r="C133" s="19"/>
      <c r="D133" s="19"/>
      <c r="E133" s="19"/>
      <c r="F133" s="19"/>
      <c r="G133" s="19"/>
      <c r="H133" s="19"/>
      <c r="I133" s="22"/>
      <c r="K133" s="748"/>
      <c r="L133" s="748"/>
      <c r="M133" s="748"/>
      <c r="N133" s="748"/>
      <c r="O133" s="748"/>
      <c r="P133" s="748"/>
      <c r="Q133" s="748"/>
    </row>
    <row r="134" spans="3:27" x14ac:dyDescent="0.25">
      <c r="C134" s="19"/>
      <c r="D134" s="19"/>
      <c r="E134" s="19"/>
      <c r="F134" s="19"/>
      <c r="G134" s="19"/>
      <c r="H134" s="19"/>
      <c r="I134" s="22"/>
      <c r="K134" s="748"/>
      <c r="L134" s="748"/>
      <c r="M134" s="748"/>
      <c r="N134" s="748"/>
      <c r="O134" s="748"/>
      <c r="P134" s="748"/>
      <c r="Q134" s="748"/>
    </row>
    <row r="135" spans="3:27" x14ac:dyDescent="0.25">
      <c r="C135" s="19"/>
      <c r="D135" s="19"/>
      <c r="E135" s="19"/>
      <c r="F135" s="19"/>
      <c r="G135" s="19"/>
      <c r="H135" s="19"/>
      <c r="I135" s="22"/>
      <c r="K135" s="748"/>
      <c r="L135" s="748"/>
      <c r="M135" s="748"/>
      <c r="N135" s="748"/>
      <c r="O135" s="748"/>
      <c r="P135" s="748"/>
      <c r="Q135" s="748"/>
    </row>
    <row r="136" spans="3:27" x14ac:dyDescent="0.25">
      <c r="C136" s="19"/>
      <c r="D136" s="19"/>
      <c r="E136" s="19"/>
      <c r="F136" s="19"/>
      <c r="G136" s="19"/>
      <c r="H136" s="19"/>
      <c r="I136" s="22"/>
      <c r="K136" s="19"/>
      <c r="L136" s="19"/>
      <c r="M136" s="19"/>
      <c r="N136" s="19"/>
      <c r="O136" s="19"/>
      <c r="P136" s="19"/>
      <c r="Q136" s="214"/>
    </row>
    <row r="137" spans="3:27" s="210" customFormat="1" ht="75" customHeight="1" x14ac:dyDescent="0.4">
      <c r="C137" s="561" t="s">
        <v>423</v>
      </c>
      <c r="D137" s="213"/>
      <c r="E137" s="213"/>
      <c r="F137" s="213"/>
      <c r="G137" s="213"/>
      <c r="H137" s="213"/>
      <c r="I137" s="213"/>
      <c r="J137" s="174"/>
      <c r="K137" s="174"/>
      <c r="L137" s="174"/>
      <c r="M137" s="174"/>
      <c r="N137" s="174"/>
      <c r="O137" s="174"/>
      <c r="P137" s="174"/>
      <c r="Q137" s="174"/>
    </row>
    <row r="138" spans="3:27" ht="15" customHeight="1" x14ac:dyDescent="0.25">
      <c r="C138" s="25"/>
      <c r="D138" s="19"/>
      <c r="E138" s="19"/>
      <c r="F138" s="19"/>
      <c r="G138" s="19"/>
      <c r="H138" s="19"/>
      <c r="I138" s="19"/>
    </row>
    <row r="139" spans="3:27" ht="18.75" customHeight="1" x14ac:dyDescent="0.3">
      <c r="C139" s="719" t="str">
        <f>UPPER(config!CI5)&amp;" 5-DAY AVG "</f>
        <v xml:space="preserve">EASTBOUND 5-DAY AVG </v>
      </c>
      <c r="D139" s="718"/>
      <c r="E139" s="718"/>
      <c r="F139" s="718"/>
      <c r="G139" s="718"/>
      <c r="H139" s="19"/>
      <c r="I139" s="760" t="str">
        <f>config!CI17</f>
        <v>→</v>
      </c>
      <c r="K139" s="718" t="str">
        <f>UPPER(config!CI6)&amp;" 5-DAY AVG "</f>
        <v xml:space="preserve">WESTBOUND 5-DAY AVG </v>
      </c>
      <c r="L139" s="718"/>
      <c r="M139" s="718"/>
      <c r="N139" s="718"/>
      <c r="O139" s="718"/>
      <c r="Q139" s="762" t="str">
        <f>config!CI18</f>
        <v>←</v>
      </c>
    </row>
    <row r="140" spans="3:27" ht="18.75" customHeight="1" x14ac:dyDescent="0.25">
      <c r="I140" s="761"/>
      <c r="Q140" s="763"/>
    </row>
    <row r="141" spans="3:27" ht="30" x14ac:dyDescent="0.25">
      <c r="C141" s="705" t="s">
        <v>11</v>
      </c>
      <c r="D141" s="706" t="s">
        <v>309</v>
      </c>
      <c r="E141" s="706" t="s">
        <v>310</v>
      </c>
      <c r="F141" s="706" t="s">
        <v>308</v>
      </c>
      <c r="G141" s="706" t="s">
        <v>311</v>
      </c>
      <c r="H141" s="706" t="s">
        <v>312</v>
      </c>
      <c r="I141" s="707" t="s">
        <v>0</v>
      </c>
      <c r="K141" s="710" t="s">
        <v>11</v>
      </c>
      <c r="L141" s="711" t="str">
        <f t="shared" ref="L141:Q141" si="1">D141</f>
        <v>MOTOR CYCLES</v>
      </c>
      <c r="M141" s="711" t="str">
        <f t="shared" si="1"/>
        <v>CARS / LGV1</v>
      </c>
      <c r="N141" s="711" t="str">
        <f t="shared" si="1"/>
        <v>LGV2 / MGV</v>
      </c>
      <c r="O141" s="711" t="str">
        <f t="shared" si="1"/>
        <v>HGV_x000D_ RIGID</v>
      </c>
      <c r="P141" s="711" t="str">
        <f t="shared" si="1"/>
        <v>HGV ARTIC'D</v>
      </c>
      <c r="Q141" s="712" t="str">
        <f t="shared" si="1"/>
        <v>TOTAL</v>
      </c>
      <c r="U141" s="528"/>
      <c r="V141" s="529"/>
      <c r="W141" s="529"/>
      <c r="X141" s="529"/>
      <c r="Y141" s="529"/>
      <c r="Z141" s="529"/>
      <c r="AA141" s="530"/>
    </row>
    <row r="142" spans="3:27" x14ac:dyDescent="0.25">
      <c r="C142" s="468" t="s">
        <v>37</v>
      </c>
      <c r="D142" s="469">
        <f>IFERROR('DIR1'!CY115,"")</f>
        <v>0</v>
      </c>
      <c r="E142" s="469">
        <f>IFERROR('DIR1'!CZ115,"")</f>
        <v>2</v>
      </c>
      <c r="F142" s="469">
        <f>IFERROR('DIR1'!DA115,"")</f>
        <v>0</v>
      </c>
      <c r="G142" s="469">
        <f>IFERROR('DIR1'!DB115,"")</f>
        <v>0</v>
      </c>
      <c r="H142" s="469">
        <f>IFERROR('DIR1'!DC115,"")</f>
        <v>0</v>
      </c>
      <c r="I142" s="470">
        <f>SUM(D142:H142)</f>
        <v>2</v>
      </c>
      <c r="K142" s="468" t="s">
        <v>37</v>
      </c>
      <c r="L142" s="469">
        <f>IFERROR('DIR2'!CY115,"")</f>
        <v>0</v>
      </c>
      <c r="M142" s="469">
        <f>IFERROR('DIR2'!CZ115,"")</f>
        <v>0.8</v>
      </c>
      <c r="N142" s="469">
        <f>IFERROR('DIR2'!DA115,"")</f>
        <v>0</v>
      </c>
      <c r="O142" s="469">
        <f>IFERROR('DIR2'!DB115,"")</f>
        <v>0</v>
      </c>
      <c r="P142" s="469">
        <f>IFERROR('DIR2'!DC115,"")</f>
        <v>0</v>
      </c>
      <c r="Q142" s="470">
        <f>SUM(L142:P142)</f>
        <v>0.8</v>
      </c>
      <c r="U142" s="531"/>
      <c r="V142" s="532"/>
      <c r="W142" s="532"/>
      <c r="X142" s="532"/>
      <c r="Y142" s="532"/>
      <c r="Z142" s="532"/>
      <c r="AA142" s="533"/>
    </row>
    <row r="143" spans="3:27" x14ac:dyDescent="0.25">
      <c r="C143" s="465" t="s">
        <v>39</v>
      </c>
      <c r="D143" s="466">
        <f>IFERROR('DIR1'!CY116,"")</f>
        <v>0</v>
      </c>
      <c r="E143" s="466">
        <f>IFERROR('DIR1'!CZ116,"")</f>
        <v>0.4</v>
      </c>
      <c r="F143" s="466">
        <f>IFERROR('DIR1'!DA116,"")</f>
        <v>0</v>
      </c>
      <c r="G143" s="466">
        <f>IFERROR('DIR1'!DB116,"")</f>
        <v>0</v>
      </c>
      <c r="H143" s="466">
        <f>IFERROR('DIR1'!DC116,"")</f>
        <v>0</v>
      </c>
      <c r="I143" s="467">
        <f t="shared" ref="I143:I165" si="2">SUM(D143:H143)</f>
        <v>0.4</v>
      </c>
      <c r="K143" s="462" t="s">
        <v>39</v>
      </c>
      <c r="L143" s="463">
        <f>IFERROR('DIR2'!CY116,"")</f>
        <v>0</v>
      </c>
      <c r="M143" s="463">
        <f>IFERROR('DIR2'!CZ116,"")</f>
        <v>0.4</v>
      </c>
      <c r="N143" s="463">
        <f>IFERROR('DIR2'!DA116,"")</f>
        <v>0</v>
      </c>
      <c r="O143" s="463">
        <f>IFERROR('DIR2'!DB116,"")</f>
        <v>0</v>
      </c>
      <c r="P143" s="463">
        <f>IFERROR('DIR2'!DC116,"")</f>
        <v>0</v>
      </c>
      <c r="Q143" s="464">
        <f t="shared" ref="Q143:Q165" si="3">SUM(L143:P143)</f>
        <v>0.4</v>
      </c>
      <c r="U143" s="531"/>
      <c r="V143" s="532"/>
      <c r="W143" s="532"/>
      <c r="X143" s="532"/>
      <c r="Y143" s="532"/>
      <c r="Z143" s="532"/>
      <c r="AA143" s="533"/>
    </row>
    <row r="144" spans="3:27" x14ac:dyDescent="0.25">
      <c r="C144" s="465" t="s">
        <v>41</v>
      </c>
      <c r="D144" s="466">
        <f>IFERROR('DIR1'!CY117,"")</f>
        <v>0</v>
      </c>
      <c r="E144" s="466">
        <f>IFERROR('DIR1'!CZ117,"")</f>
        <v>0.4</v>
      </c>
      <c r="F144" s="466">
        <f>IFERROR('DIR1'!DA117,"")</f>
        <v>0</v>
      </c>
      <c r="G144" s="466">
        <f>IFERROR('DIR1'!DB117,"")</f>
        <v>0</v>
      </c>
      <c r="H144" s="466">
        <f>IFERROR('DIR1'!DC117,"")</f>
        <v>0</v>
      </c>
      <c r="I144" s="467">
        <f t="shared" si="2"/>
        <v>0.4</v>
      </c>
      <c r="K144" s="462" t="s">
        <v>41</v>
      </c>
      <c r="L144" s="463">
        <f>IFERROR('DIR2'!CY117,"")</f>
        <v>0</v>
      </c>
      <c r="M144" s="463">
        <f>IFERROR('DIR2'!CZ117,"")</f>
        <v>0.4</v>
      </c>
      <c r="N144" s="463">
        <f>IFERROR('DIR2'!DA117,"")</f>
        <v>0</v>
      </c>
      <c r="O144" s="463">
        <f>IFERROR('DIR2'!DB117,"")</f>
        <v>0</v>
      </c>
      <c r="P144" s="463">
        <f>IFERROR('DIR2'!DC117,"")</f>
        <v>0</v>
      </c>
      <c r="Q144" s="464">
        <f t="shared" si="3"/>
        <v>0.4</v>
      </c>
      <c r="U144" s="531"/>
      <c r="V144" s="532"/>
      <c r="W144" s="532"/>
      <c r="X144" s="532"/>
      <c r="Y144" s="532"/>
      <c r="Z144" s="532"/>
      <c r="AA144" s="533"/>
    </row>
    <row r="145" spans="3:27" x14ac:dyDescent="0.25">
      <c r="C145" s="465" t="s">
        <v>43</v>
      </c>
      <c r="D145" s="466">
        <f>IFERROR('DIR1'!CY118,"")</f>
        <v>0</v>
      </c>
      <c r="E145" s="466">
        <f>IFERROR('DIR1'!CZ118,"")</f>
        <v>1.6</v>
      </c>
      <c r="F145" s="466">
        <f>IFERROR('DIR1'!DA118,"")</f>
        <v>0</v>
      </c>
      <c r="G145" s="466">
        <f>IFERROR('DIR1'!DB118,"")</f>
        <v>0</v>
      </c>
      <c r="H145" s="466">
        <f>IFERROR('DIR1'!DC118,"")</f>
        <v>0</v>
      </c>
      <c r="I145" s="467">
        <f t="shared" si="2"/>
        <v>1.6</v>
      </c>
      <c r="K145" s="465" t="s">
        <v>43</v>
      </c>
      <c r="L145" s="466">
        <f>IFERROR('DIR2'!CY118,"")</f>
        <v>0</v>
      </c>
      <c r="M145" s="466">
        <f>IFERROR('DIR2'!CZ118,"")</f>
        <v>1.4</v>
      </c>
      <c r="N145" s="466">
        <f>IFERROR('DIR2'!DA118,"")</f>
        <v>0.6</v>
      </c>
      <c r="O145" s="466">
        <f>IFERROR('DIR2'!DB118,"")</f>
        <v>0</v>
      </c>
      <c r="P145" s="466">
        <f>IFERROR('DIR2'!DC118,"")</f>
        <v>0</v>
      </c>
      <c r="Q145" s="467">
        <f t="shared" si="3"/>
        <v>2</v>
      </c>
      <c r="U145" s="531"/>
      <c r="V145" s="532"/>
      <c r="W145" s="532"/>
      <c r="X145" s="532"/>
      <c r="Y145" s="532"/>
      <c r="Z145" s="532"/>
      <c r="AA145" s="533"/>
    </row>
    <row r="146" spans="3:27" x14ac:dyDescent="0.25">
      <c r="C146" s="465" t="s">
        <v>44</v>
      </c>
      <c r="D146" s="466">
        <f>IFERROR('DIR1'!CY119,"")</f>
        <v>0</v>
      </c>
      <c r="E146" s="466">
        <f>IFERROR('DIR1'!CZ119,"")</f>
        <v>0.60000000000000009</v>
      </c>
      <c r="F146" s="466">
        <f>IFERROR('DIR1'!DA119,"")</f>
        <v>0</v>
      </c>
      <c r="G146" s="466">
        <f>IFERROR('DIR1'!DB119,"")</f>
        <v>0</v>
      </c>
      <c r="H146" s="466">
        <f>IFERROR('DIR1'!DC119,"")</f>
        <v>0</v>
      </c>
      <c r="I146" s="467">
        <f t="shared" si="2"/>
        <v>0.60000000000000009</v>
      </c>
      <c r="K146" s="465" t="s">
        <v>44</v>
      </c>
      <c r="L146" s="466">
        <f>IFERROR('DIR2'!CY119,"")</f>
        <v>0</v>
      </c>
      <c r="M146" s="466">
        <f>IFERROR('DIR2'!CZ119,"")</f>
        <v>0.6</v>
      </c>
      <c r="N146" s="466">
        <f>IFERROR('DIR2'!DA119,"")</f>
        <v>0.4</v>
      </c>
      <c r="O146" s="466">
        <f>IFERROR('DIR2'!DB119,"")</f>
        <v>0</v>
      </c>
      <c r="P146" s="466">
        <f>IFERROR('DIR2'!DC119,"")</f>
        <v>0</v>
      </c>
      <c r="Q146" s="467">
        <f t="shared" si="3"/>
        <v>1</v>
      </c>
      <c r="U146" s="531"/>
      <c r="V146" s="532"/>
      <c r="W146" s="532"/>
      <c r="X146" s="532"/>
      <c r="Y146" s="532"/>
      <c r="Z146" s="532"/>
      <c r="AA146" s="533"/>
    </row>
    <row r="147" spans="3:27" x14ac:dyDescent="0.25">
      <c r="C147" s="465" t="s">
        <v>46</v>
      </c>
      <c r="D147" s="466">
        <f>IFERROR('DIR1'!CY120,"")</f>
        <v>0</v>
      </c>
      <c r="E147" s="466">
        <f>IFERROR('DIR1'!CZ120,"")</f>
        <v>2.4000000000000004</v>
      </c>
      <c r="F147" s="466">
        <f>IFERROR('DIR1'!DA120,"")</f>
        <v>0.8</v>
      </c>
      <c r="G147" s="466">
        <f>IFERROR('DIR1'!DB120,"")</f>
        <v>0</v>
      </c>
      <c r="H147" s="466">
        <f>IFERROR('DIR1'!DC120,"")</f>
        <v>0</v>
      </c>
      <c r="I147" s="467">
        <f t="shared" si="2"/>
        <v>3.2</v>
      </c>
      <c r="K147" s="465" t="s">
        <v>46</v>
      </c>
      <c r="L147" s="466">
        <f>IFERROR('DIR2'!CY120,"")</f>
        <v>0</v>
      </c>
      <c r="M147" s="466">
        <f>IFERROR('DIR2'!CZ120,"")</f>
        <v>10.799999999999999</v>
      </c>
      <c r="N147" s="466">
        <f>IFERROR('DIR2'!DA120,"")</f>
        <v>0.60000000000000009</v>
      </c>
      <c r="O147" s="466">
        <f>IFERROR('DIR2'!DB120,"")</f>
        <v>0</v>
      </c>
      <c r="P147" s="466">
        <f>IFERROR('DIR2'!DC120,"")</f>
        <v>0</v>
      </c>
      <c r="Q147" s="467">
        <f t="shared" si="3"/>
        <v>11.399999999999999</v>
      </c>
      <c r="U147" s="531"/>
      <c r="V147" s="532"/>
      <c r="W147" s="532"/>
      <c r="X147" s="532"/>
      <c r="Y147" s="532"/>
      <c r="Z147" s="532"/>
      <c r="AA147" s="533"/>
    </row>
    <row r="148" spans="3:27" x14ac:dyDescent="0.25">
      <c r="C148" s="478" t="s">
        <v>48</v>
      </c>
      <c r="D148" s="479">
        <f>IFERROR('DIR1'!CY121,"")</f>
        <v>0.6</v>
      </c>
      <c r="E148" s="479">
        <f>IFERROR('DIR1'!CZ121,"")</f>
        <v>10</v>
      </c>
      <c r="F148" s="479">
        <f>IFERROR('DIR1'!DA121,"")</f>
        <v>0.8</v>
      </c>
      <c r="G148" s="479">
        <f>IFERROR('DIR1'!DB121,"")</f>
        <v>0</v>
      </c>
      <c r="H148" s="479">
        <f>IFERROR('DIR1'!DC121,"")</f>
        <v>0</v>
      </c>
      <c r="I148" s="480">
        <f t="shared" si="2"/>
        <v>11.4</v>
      </c>
      <c r="K148" s="471" t="s">
        <v>48</v>
      </c>
      <c r="L148" s="472">
        <f>IFERROR('DIR2'!CY121,"")</f>
        <v>0.4</v>
      </c>
      <c r="M148" s="472">
        <f>IFERROR('DIR2'!CZ121,"")</f>
        <v>28.400000000000002</v>
      </c>
      <c r="N148" s="472">
        <f>IFERROR('DIR2'!DA121,"")</f>
        <v>1</v>
      </c>
      <c r="O148" s="472">
        <f>IFERROR('DIR2'!DB121,"")</f>
        <v>0</v>
      </c>
      <c r="P148" s="472">
        <f>IFERROR('DIR2'!DC121,"")</f>
        <v>0</v>
      </c>
      <c r="Q148" s="473">
        <f t="shared" si="3"/>
        <v>29.8</v>
      </c>
      <c r="U148" s="531"/>
      <c r="V148" s="532"/>
      <c r="W148" s="532"/>
      <c r="X148" s="532"/>
      <c r="Y148" s="532"/>
      <c r="Z148" s="532"/>
      <c r="AA148" s="533"/>
    </row>
    <row r="149" spans="3:27" x14ac:dyDescent="0.25">
      <c r="C149" s="468" t="s">
        <v>50</v>
      </c>
      <c r="D149" s="474">
        <f>IFERROR('DIR1'!CY122,"")</f>
        <v>2</v>
      </c>
      <c r="E149" s="474">
        <f>IFERROR('DIR1'!CZ122,"")</f>
        <v>28.200000000000003</v>
      </c>
      <c r="F149" s="474">
        <f>IFERROR('DIR1'!DA122,"")</f>
        <v>4.4000000000000004</v>
      </c>
      <c r="G149" s="474">
        <f>IFERROR('DIR1'!DB122,"")</f>
        <v>0</v>
      </c>
      <c r="H149" s="474">
        <f>IFERROR('DIR1'!DC122,"")</f>
        <v>0</v>
      </c>
      <c r="I149" s="475">
        <f t="shared" si="2"/>
        <v>34.6</v>
      </c>
      <c r="K149" s="468" t="s">
        <v>50</v>
      </c>
      <c r="L149" s="474">
        <f>IFERROR('DIR2'!CY122,"")</f>
        <v>1.2</v>
      </c>
      <c r="M149" s="474">
        <f>IFERROR('DIR2'!CZ122,"")</f>
        <v>68.2</v>
      </c>
      <c r="N149" s="474">
        <f>IFERROR('DIR2'!DA122,"")</f>
        <v>6.4</v>
      </c>
      <c r="O149" s="474">
        <f>IFERROR('DIR2'!DB122,"")</f>
        <v>0</v>
      </c>
      <c r="P149" s="474">
        <f>IFERROR('DIR2'!DC122,"")</f>
        <v>0.4</v>
      </c>
      <c r="Q149" s="475">
        <f t="shared" si="3"/>
        <v>76.200000000000017</v>
      </c>
      <c r="U149" s="531"/>
      <c r="V149" s="532"/>
      <c r="W149" s="532"/>
      <c r="X149" s="532"/>
      <c r="Y149" s="532"/>
      <c r="Z149" s="532"/>
      <c r="AA149" s="533"/>
    </row>
    <row r="150" spans="3:27" x14ac:dyDescent="0.25">
      <c r="C150" s="465" t="s">
        <v>51</v>
      </c>
      <c r="D150" s="476">
        <f>IFERROR('DIR1'!CY123,"")</f>
        <v>0.2</v>
      </c>
      <c r="E150" s="476">
        <f>IFERROR('DIR1'!CZ123,"")</f>
        <v>29.4</v>
      </c>
      <c r="F150" s="476">
        <f>IFERROR('DIR1'!DA123,"")</f>
        <v>5.1999999999999993</v>
      </c>
      <c r="G150" s="476">
        <f>IFERROR('DIR1'!DB123,"")</f>
        <v>0.2</v>
      </c>
      <c r="H150" s="476">
        <f>IFERROR('DIR1'!DC123,"")</f>
        <v>0</v>
      </c>
      <c r="I150" s="477">
        <f t="shared" si="2"/>
        <v>35</v>
      </c>
      <c r="K150" s="465" t="s">
        <v>51</v>
      </c>
      <c r="L150" s="476">
        <f>IFERROR('DIR2'!CY123,"")</f>
        <v>0.60000000000000009</v>
      </c>
      <c r="M150" s="476">
        <f>IFERROR('DIR2'!CZ123,"")</f>
        <v>84</v>
      </c>
      <c r="N150" s="476">
        <f>IFERROR('DIR2'!DA123,"")</f>
        <v>6.4</v>
      </c>
      <c r="O150" s="476">
        <f>IFERROR('DIR2'!DB123,"")</f>
        <v>0</v>
      </c>
      <c r="P150" s="476">
        <f>IFERROR('DIR2'!DC123,"")</f>
        <v>0.8</v>
      </c>
      <c r="Q150" s="477">
        <f>SUM(L150:P150)</f>
        <v>91.8</v>
      </c>
      <c r="U150" s="531"/>
      <c r="V150" s="532"/>
      <c r="W150" s="532"/>
      <c r="X150" s="532"/>
      <c r="Y150" s="532"/>
      <c r="Z150" s="532"/>
      <c r="AA150" s="533"/>
    </row>
    <row r="151" spans="3:27" x14ac:dyDescent="0.25">
      <c r="C151" s="465" t="s">
        <v>53</v>
      </c>
      <c r="D151" s="476">
        <f>IFERROR('DIR1'!CY124,"")</f>
        <v>0.2</v>
      </c>
      <c r="E151" s="476">
        <f>IFERROR('DIR1'!CZ124,"")</f>
        <v>31.200000000000003</v>
      </c>
      <c r="F151" s="476">
        <f>IFERROR('DIR1'!DA124,"")</f>
        <v>4.4000000000000004</v>
      </c>
      <c r="G151" s="476">
        <f>IFERROR('DIR1'!DB124,"")</f>
        <v>0</v>
      </c>
      <c r="H151" s="476">
        <f>IFERROR('DIR1'!DC124,"")</f>
        <v>0.4</v>
      </c>
      <c r="I151" s="477">
        <f t="shared" si="2"/>
        <v>36.200000000000003</v>
      </c>
      <c r="K151" s="465" t="s">
        <v>53</v>
      </c>
      <c r="L151" s="476">
        <f>IFERROR('DIR2'!CY124,"")</f>
        <v>0</v>
      </c>
      <c r="M151" s="476">
        <f>IFERROR('DIR2'!CZ124,"")</f>
        <v>52.199999999999996</v>
      </c>
      <c r="N151" s="476">
        <f>IFERROR('DIR2'!DA124,"")</f>
        <v>7.4</v>
      </c>
      <c r="O151" s="476">
        <f>IFERROR('DIR2'!DB124,"")</f>
        <v>0</v>
      </c>
      <c r="P151" s="476">
        <f>IFERROR('DIR2'!DC124,"")</f>
        <v>0.60000000000000009</v>
      </c>
      <c r="Q151" s="477">
        <f t="shared" si="3"/>
        <v>60.199999999999996</v>
      </c>
      <c r="U151" s="531"/>
      <c r="V151" s="532"/>
      <c r="W151" s="532"/>
      <c r="X151" s="532"/>
      <c r="Y151" s="532"/>
      <c r="Z151" s="532"/>
      <c r="AA151" s="533"/>
    </row>
    <row r="152" spans="3:27" x14ac:dyDescent="0.25">
      <c r="C152" s="465" t="s">
        <v>55</v>
      </c>
      <c r="D152" s="476">
        <f>IFERROR('DIR1'!CY125,"")</f>
        <v>0.60000000000000009</v>
      </c>
      <c r="E152" s="476">
        <f>IFERROR('DIR1'!CZ125,"")</f>
        <v>30.6</v>
      </c>
      <c r="F152" s="476">
        <f>IFERROR('DIR1'!DA125,"")</f>
        <v>4.6000000000000005</v>
      </c>
      <c r="G152" s="476">
        <f>IFERROR('DIR1'!DB125,"")</f>
        <v>0</v>
      </c>
      <c r="H152" s="476">
        <f>IFERROR('DIR1'!DC125,"")</f>
        <v>0.4</v>
      </c>
      <c r="I152" s="477">
        <f t="shared" si="2"/>
        <v>36.200000000000003</v>
      </c>
      <c r="K152" s="465" t="s">
        <v>55</v>
      </c>
      <c r="L152" s="476">
        <f>IFERROR('DIR2'!CY125,"")</f>
        <v>0.2</v>
      </c>
      <c r="M152" s="476">
        <f>IFERROR('DIR2'!CZ125,"")</f>
        <v>33.200000000000003</v>
      </c>
      <c r="N152" s="476">
        <f>IFERROR('DIR2'!DA125,"")</f>
        <v>5</v>
      </c>
      <c r="O152" s="476">
        <f>IFERROR('DIR2'!DB125,"")</f>
        <v>0</v>
      </c>
      <c r="P152" s="476">
        <f>IFERROR('DIR2'!DC125,"")</f>
        <v>0</v>
      </c>
      <c r="Q152" s="477">
        <f t="shared" si="3"/>
        <v>38.400000000000006</v>
      </c>
      <c r="U152" s="531"/>
      <c r="V152" s="532"/>
      <c r="W152" s="532"/>
      <c r="X152" s="532"/>
      <c r="Y152" s="532"/>
      <c r="Z152" s="532"/>
      <c r="AA152" s="533"/>
    </row>
    <row r="153" spans="3:27" x14ac:dyDescent="0.25">
      <c r="C153" s="465" t="s">
        <v>57</v>
      </c>
      <c r="D153" s="476">
        <f>IFERROR('DIR1'!CY126,"")</f>
        <v>0.60000000000000009</v>
      </c>
      <c r="E153" s="476">
        <f>IFERROR('DIR1'!CZ126,"")</f>
        <v>34.799999999999997</v>
      </c>
      <c r="F153" s="476">
        <f>IFERROR('DIR1'!DA126,"")</f>
        <v>6.1999999999999993</v>
      </c>
      <c r="G153" s="476">
        <f>IFERROR('DIR1'!DB126,"")</f>
        <v>0</v>
      </c>
      <c r="H153" s="476">
        <f>IFERROR('DIR1'!DC126,"")</f>
        <v>0.2</v>
      </c>
      <c r="I153" s="477">
        <f t="shared" si="2"/>
        <v>41.8</v>
      </c>
      <c r="K153" s="465" t="s">
        <v>57</v>
      </c>
      <c r="L153" s="476">
        <f>IFERROR('DIR2'!CY126,"")</f>
        <v>1.2</v>
      </c>
      <c r="M153" s="476">
        <f>IFERROR('DIR2'!CZ126,"")</f>
        <v>34.000000000000007</v>
      </c>
      <c r="N153" s="476">
        <f>IFERROR('DIR2'!DA126,"")</f>
        <v>4.8000000000000007</v>
      </c>
      <c r="O153" s="476">
        <f>IFERROR('DIR2'!DB126,"")</f>
        <v>0</v>
      </c>
      <c r="P153" s="476">
        <f>IFERROR('DIR2'!DC126,"")</f>
        <v>0</v>
      </c>
      <c r="Q153" s="477">
        <f t="shared" si="3"/>
        <v>40.000000000000014</v>
      </c>
      <c r="U153" s="531"/>
      <c r="V153" s="532"/>
      <c r="W153" s="532"/>
      <c r="X153" s="532"/>
      <c r="Y153" s="532"/>
      <c r="Z153" s="532"/>
      <c r="AA153" s="533"/>
    </row>
    <row r="154" spans="3:27" x14ac:dyDescent="0.25">
      <c r="C154" s="465" t="s">
        <v>58</v>
      </c>
      <c r="D154" s="476">
        <f>IFERROR('DIR1'!CY127,"")</f>
        <v>1.4</v>
      </c>
      <c r="E154" s="476">
        <f>IFERROR('DIR1'!CZ127,"")</f>
        <v>39</v>
      </c>
      <c r="F154" s="476">
        <f>IFERROR('DIR1'!DA127,"")</f>
        <v>6.1999999999999993</v>
      </c>
      <c r="G154" s="476">
        <f>IFERROR('DIR1'!DB127,"")</f>
        <v>0</v>
      </c>
      <c r="H154" s="476">
        <f>IFERROR('DIR1'!DC127,"")</f>
        <v>0.60000000000000009</v>
      </c>
      <c r="I154" s="477">
        <f t="shared" si="2"/>
        <v>47.199999999999996</v>
      </c>
      <c r="K154" s="465" t="s">
        <v>58</v>
      </c>
      <c r="L154" s="476">
        <f>IFERROR('DIR2'!CY127,"")</f>
        <v>0.60000000000000009</v>
      </c>
      <c r="M154" s="476">
        <f>IFERROR('DIR2'!CZ127,"")</f>
        <v>27.799999999999997</v>
      </c>
      <c r="N154" s="476">
        <f>IFERROR('DIR2'!DA127,"")</f>
        <v>4.4000000000000004</v>
      </c>
      <c r="O154" s="476">
        <f>IFERROR('DIR2'!DB127,"")</f>
        <v>0</v>
      </c>
      <c r="P154" s="476">
        <f>IFERROR('DIR2'!DC127,"")</f>
        <v>0</v>
      </c>
      <c r="Q154" s="477">
        <f t="shared" si="3"/>
        <v>32.799999999999997</v>
      </c>
      <c r="U154" s="531"/>
      <c r="V154" s="532"/>
      <c r="W154" s="532"/>
      <c r="X154" s="532"/>
      <c r="Y154" s="532"/>
      <c r="Z154" s="532"/>
      <c r="AA154" s="533"/>
    </row>
    <row r="155" spans="3:27" x14ac:dyDescent="0.25">
      <c r="C155" s="465" t="s">
        <v>60</v>
      </c>
      <c r="D155" s="476">
        <f>IFERROR('DIR1'!CY128,"")</f>
        <v>0.4</v>
      </c>
      <c r="E155" s="476">
        <f>IFERROR('DIR1'!CZ128,"")</f>
        <v>33.799999999999997</v>
      </c>
      <c r="F155" s="476">
        <f>IFERROR('DIR1'!DA128,"")</f>
        <v>5.2</v>
      </c>
      <c r="G155" s="476">
        <f>IFERROR('DIR1'!DB128,"")</f>
        <v>0</v>
      </c>
      <c r="H155" s="476">
        <f>IFERROR('DIR1'!DC128,"")</f>
        <v>0.4</v>
      </c>
      <c r="I155" s="477">
        <f t="shared" si="2"/>
        <v>39.799999999999997</v>
      </c>
      <c r="K155" s="465" t="s">
        <v>60</v>
      </c>
      <c r="L155" s="476">
        <f>IFERROR('DIR2'!CY128,"")</f>
        <v>0.8</v>
      </c>
      <c r="M155" s="476">
        <f>IFERROR('DIR2'!CZ128,"")</f>
        <v>27.200000000000003</v>
      </c>
      <c r="N155" s="476">
        <f>IFERROR('DIR2'!DA128,"")</f>
        <v>3.2</v>
      </c>
      <c r="O155" s="476">
        <f>IFERROR('DIR2'!DB128,"")</f>
        <v>0</v>
      </c>
      <c r="P155" s="476">
        <f>IFERROR('DIR2'!DC128,"")</f>
        <v>0.2</v>
      </c>
      <c r="Q155" s="477">
        <f t="shared" si="3"/>
        <v>31.400000000000002</v>
      </c>
      <c r="U155" s="531"/>
      <c r="V155" s="532"/>
      <c r="W155" s="532"/>
      <c r="X155" s="532"/>
      <c r="Y155" s="532"/>
      <c r="Z155" s="532"/>
      <c r="AA155" s="533"/>
    </row>
    <row r="156" spans="3:27" x14ac:dyDescent="0.25">
      <c r="C156" s="465" t="s">
        <v>62</v>
      </c>
      <c r="D156" s="476">
        <f>IFERROR('DIR1'!CY129,"")</f>
        <v>1</v>
      </c>
      <c r="E156" s="476">
        <f>IFERROR('DIR1'!CZ129,"")</f>
        <v>38.799999999999997</v>
      </c>
      <c r="F156" s="476">
        <f>IFERROR('DIR1'!DA129,"")</f>
        <v>7.3999999999999995</v>
      </c>
      <c r="G156" s="476">
        <f>IFERROR('DIR1'!DB129,"")</f>
        <v>0.2</v>
      </c>
      <c r="H156" s="476">
        <f>IFERROR('DIR1'!DC129,"")</f>
        <v>0.4</v>
      </c>
      <c r="I156" s="477">
        <f t="shared" si="2"/>
        <v>47.8</v>
      </c>
      <c r="K156" s="465" t="s">
        <v>62</v>
      </c>
      <c r="L156" s="476">
        <f>IFERROR('DIR2'!CY129,"")</f>
        <v>3.8</v>
      </c>
      <c r="M156" s="476">
        <f>IFERROR('DIR2'!CZ129,"")</f>
        <v>32.4</v>
      </c>
      <c r="N156" s="476">
        <f>IFERROR('DIR2'!DA129,"")</f>
        <v>3.8</v>
      </c>
      <c r="O156" s="476">
        <f>IFERROR('DIR2'!DB129,"")</f>
        <v>0.4</v>
      </c>
      <c r="P156" s="476">
        <f>IFERROR('DIR2'!DC129,"")</f>
        <v>0</v>
      </c>
      <c r="Q156" s="477">
        <f t="shared" si="3"/>
        <v>40.399999999999991</v>
      </c>
      <c r="U156" s="531"/>
      <c r="V156" s="532"/>
      <c r="W156" s="532"/>
      <c r="X156" s="532"/>
      <c r="Y156" s="532"/>
      <c r="Z156" s="532"/>
      <c r="AA156" s="533"/>
    </row>
    <row r="157" spans="3:27" x14ac:dyDescent="0.25">
      <c r="C157" s="465" t="s">
        <v>64</v>
      </c>
      <c r="D157" s="476">
        <f>IFERROR('DIR1'!CY130,"")</f>
        <v>0.8</v>
      </c>
      <c r="E157" s="476">
        <f>IFERROR('DIR1'!CZ130,"")</f>
        <v>49.600000000000009</v>
      </c>
      <c r="F157" s="476">
        <f>IFERROR('DIR1'!DA130,"")</f>
        <v>3.9999999999999996</v>
      </c>
      <c r="G157" s="476">
        <f>IFERROR('DIR1'!DB130,"")</f>
        <v>0</v>
      </c>
      <c r="H157" s="476">
        <f>IFERROR('DIR1'!DC130,"")</f>
        <v>0.8</v>
      </c>
      <c r="I157" s="477">
        <f t="shared" si="2"/>
        <v>55.2</v>
      </c>
      <c r="K157" s="465" t="s">
        <v>64</v>
      </c>
      <c r="L157" s="476">
        <f>IFERROR('DIR2'!CY130,"")</f>
        <v>0.60000000000000009</v>
      </c>
      <c r="M157" s="476">
        <f>IFERROR('DIR2'!CZ130,"")</f>
        <v>38.6</v>
      </c>
      <c r="N157" s="476">
        <f>IFERROR('DIR2'!DA130,"")</f>
        <v>4.4000000000000004</v>
      </c>
      <c r="O157" s="476">
        <f>IFERROR('DIR2'!DB130,"")</f>
        <v>0</v>
      </c>
      <c r="P157" s="476">
        <f>IFERROR('DIR2'!DC130,"")</f>
        <v>0</v>
      </c>
      <c r="Q157" s="477">
        <f t="shared" si="3"/>
        <v>43.6</v>
      </c>
      <c r="U157" s="531"/>
      <c r="V157" s="532"/>
      <c r="W157" s="532"/>
      <c r="X157" s="532"/>
      <c r="Y157" s="532"/>
      <c r="Z157" s="532"/>
      <c r="AA157" s="533"/>
    </row>
    <row r="158" spans="3:27" x14ac:dyDescent="0.25">
      <c r="C158" s="465" t="s">
        <v>65</v>
      </c>
      <c r="D158" s="476">
        <f>IFERROR('DIR1'!CY131,"")</f>
        <v>1.2000000000000002</v>
      </c>
      <c r="E158" s="476">
        <f>IFERROR('DIR1'!CZ131,"")</f>
        <v>64.599999999999994</v>
      </c>
      <c r="F158" s="476">
        <f>IFERROR('DIR1'!DA131,"")</f>
        <v>6.8000000000000007</v>
      </c>
      <c r="G158" s="476">
        <f>IFERROR('DIR1'!DB131,"")</f>
        <v>0</v>
      </c>
      <c r="H158" s="476">
        <f>IFERROR('DIR1'!DC131,"")</f>
        <v>0.2</v>
      </c>
      <c r="I158" s="477">
        <f t="shared" si="2"/>
        <v>72.8</v>
      </c>
      <c r="K158" s="465" t="s">
        <v>65</v>
      </c>
      <c r="L158" s="476">
        <f>IFERROR('DIR2'!CY131,"")</f>
        <v>2</v>
      </c>
      <c r="M158" s="476">
        <f>IFERROR('DIR2'!CZ131,"")</f>
        <v>41.8</v>
      </c>
      <c r="N158" s="476">
        <f>IFERROR('DIR2'!DA131,"")</f>
        <v>4.4000000000000004</v>
      </c>
      <c r="O158" s="476">
        <f>IFERROR('DIR2'!DB131,"")</f>
        <v>0</v>
      </c>
      <c r="P158" s="476">
        <f>IFERROR('DIR2'!DC131,"")</f>
        <v>0</v>
      </c>
      <c r="Q158" s="477">
        <f t="shared" si="3"/>
        <v>48.199999999999996</v>
      </c>
      <c r="U158" s="531"/>
      <c r="V158" s="532"/>
      <c r="W158" s="532"/>
      <c r="X158" s="532"/>
      <c r="Y158" s="532"/>
      <c r="Z158" s="532"/>
      <c r="AA158" s="533"/>
    </row>
    <row r="159" spans="3:27" x14ac:dyDescent="0.25">
      <c r="C159" s="465" t="s">
        <v>67</v>
      </c>
      <c r="D159" s="476">
        <f>IFERROR('DIR1'!CY132,"")</f>
        <v>1.8</v>
      </c>
      <c r="E159" s="476">
        <f>IFERROR('DIR1'!CZ132,"")</f>
        <v>82.4</v>
      </c>
      <c r="F159" s="476">
        <f>IFERROR('DIR1'!DA132,"")</f>
        <v>7</v>
      </c>
      <c r="G159" s="476">
        <f>IFERROR('DIR1'!DB132,"")</f>
        <v>0.2</v>
      </c>
      <c r="H159" s="476">
        <f>IFERROR('DIR1'!DC132,"")</f>
        <v>0</v>
      </c>
      <c r="I159" s="477">
        <f t="shared" si="2"/>
        <v>91.4</v>
      </c>
      <c r="K159" s="465" t="s">
        <v>67</v>
      </c>
      <c r="L159" s="476">
        <f>IFERROR('DIR2'!CY132,"")</f>
        <v>0.8</v>
      </c>
      <c r="M159" s="476">
        <f>IFERROR('DIR2'!CZ132,"")</f>
        <v>39.200000000000003</v>
      </c>
      <c r="N159" s="476">
        <f>IFERROR('DIR2'!DA132,"")</f>
        <v>3.8</v>
      </c>
      <c r="O159" s="476">
        <f>IFERROR('DIR2'!DB132,"")</f>
        <v>0</v>
      </c>
      <c r="P159" s="476">
        <f>IFERROR('DIR2'!DC132,"")</f>
        <v>0.2</v>
      </c>
      <c r="Q159" s="477">
        <f t="shared" si="3"/>
        <v>44</v>
      </c>
      <c r="U159" s="531"/>
      <c r="V159" s="532"/>
      <c r="W159" s="532"/>
      <c r="X159" s="532"/>
      <c r="Y159" s="532"/>
      <c r="Z159" s="532"/>
      <c r="AA159" s="533"/>
    </row>
    <row r="160" spans="3:27" x14ac:dyDescent="0.25">
      <c r="C160" s="456" t="s">
        <v>69</v>
      </c>
      <c r="D160" s="457">
        <f>IFERROR('DIR1'!CY133,"")</f>
        <v>1.4</v>
      </c>
      <c r="E160" s="457">
        <f>IFERROR('DIR1'!CZ133,"")</f>
        <v>46.599999999999994</v>
      </c>
      <c r="F160" s="457">
        <f>IFERROR('DIR1'!DA133,"")</f>
        <v>3.4</v>
      </c>
      <c r="G160" s="457">
        <f>IFERROR('DIR1'!DB133,"")</f>
        <v>0</v>
      </c>
      <c r="H160" s="457">
        <f>IFERROR('DIR1'!DC133,"")</f>
        <v>0</v>
      </c>
      <c r="I160" s="458">
        <f t="shared" si="2"/>
        <v>51.399999999999991</v>
      </c>
      <c r="K160" s="456" t="s">
        <v>69</v>
      </c>
      <c r="L160" s="457">
        <f>IFERROR('DIR2'!CY133,"")</f>
        <v>1.2</v>
      </c>
      <c r="M160" s="457">
        <f>IFERROR('DIR2'!CZ133,"")</f>
        <v>30.000000000000004</v>
      </c>
      <c r="N160" s="457">
        <f>IFERROR('DIR2'!DA133,"")</f>
        <v>3</v>
      </c>
      <c r="O160" s="457">
        <f>IFERROR('DIR2'!DB133,"")</f>
        <v>0</v>
      </c>
      <c r="P160" s="457">
        <f>IFERROR('DIR2'!DC133,"")</f>
        <v>0</v>
      </c>
      <c r="Q160" s="458">
        <f t="shared" si="3"/>
        <v>34.200000000000003</v>
      </c>
      <c r="U160" s="531"/>
      <c r="V160" s="532"/>
      <c r="W160" s="532"/>
      <c r="X160" s="532"/>
      <c r="Y160" s="532"/>
      <c r="Z160" s="532"/>
      <c r="AA160" s="533"/>
    </row>
    <row r="161" spans="3:27" x14ac:dyDescent="0.25">
      <c r="C161" s="449" t="s">
        <v>71</v>
      </c>
      <c r="D161" s="451">
        <f>IFERROR('DIR1'!CY134,"")</f>
        <v>0.60000000000000009</v>
      </c>
      <c r="E161" s="451">
        <f>IFERROR('DIR1'!CZ134,"")</f>
        <v>43</v>
      </c>
      <c r="F161" s="451">
        <f>IFERROR('DIR1'!DA134,"")</f>
        <v>3</v>
      </c>
      <c r="G161" s="451">
        <f>IFERROR('DIR1'!DB134,"")</f>
        <v>0.2</v>
      </c>
      <c r="H161" s="451">
        <f>IFERROR('DIR1'!DC134,"")</f>
        <v>0</v>
      </c>
      <c r="I161" s="454">
        <f t="shared" si="2"/>
        <v>46.800000000000004</v>
      </c>
      <c r="K161" s="449" t="s">
        <v>71</v>
      </c>
      <c r="L161" s="451">
        <f>IFERROR('DIR2'!CY134,"")</f>
        <v>0.4</v>
      </c>
      <c r="M161" s="451">
        <f>IFERROR('DIR2'!CZ134,"")</f>
        <v>26.4</v>
      </c>
      <c r="N161" s="451">
        <f>IFERROR('DIR2'!DA134,"")</f>
        <v>1.6</v>
      </c>
      <c r="O161" s="451">
        <f>IFERROR('DIR2'!DB134,"")</f>
        <v>0</v>
      </c>
      <c r="P161" s="451">
        <f>IFERROR('DIR2'!DC134,"")</f>
        <v>0</v>
      </c>
      <c r="Q161" s="454">
        <f t="shared" si="3"/>
        <v>28.4</v>
      </c>
      <c r="U161" s="531"/>
      <c r="V161" s="532"/>
      <c r="W161" s="532"/>
      <c r="X161" s="532"/>
      <c r="Y161" s="532"/>
      <c r="Z161" s="532"/>
      <c r="AA161" s="533"/>
    </row>
    <row r="162" spans="3:27" x14ac:dyDescent="0.25">
      <c r="C162" s="465" t="s">
        <v>72</v>
      </c>
      <c r="D162" s="466">
        <f>IFERROR('DIR1'!CY135,"")</f>
        <v>0.2</v>
      </c>
      <c r="E162" s="466">
        <f>IFERROR('DIR1'!CZ135,"")</f>
        <v>25.799999999999997</v>
      </c>
      <c r="F162" s="466">
        <f>IFERROR('DIR1'!DA135,"")</f>
        <v>1.4</v>
      </c>
      <c r="G162" s="466">
        <f>IFERROR('DIR1'!DB135,"")</f>
        <v>0</v>
      </c>
      <c r="H162" s="466">
        <f>IFERROR('DIR1'!DC135,"")</f>
        <v>0</v>
      </c>
      <c r="I162" s="467">
        <f t="shared" si="2"/>
        <v>27.399999999999995</v>
      </c>
      <c r="K162" s="462" t="s">
        <v>72</v>
      </c>
      <c r="L162" s="463">
        <f>IFERROR('DIR2'!CY135,"")</f>
        <v>0</v>
      </c>
      <c r="M162" s="463">
        <f>IFERROR('DIR2'!CZ135,"")</f>
        <v>17.400000000000002</v>
      </c>
      <c r="N162" s="463">
        <f>IFERROR('DIR2'!DA135,"")</f>
        <v>1.2000000000000002</v>
      </c>
      <c r="O162" s="463">
        <f>IFERROR('DIR2'!DB135,"")</f>
        <v>0</v>
      </c>
      <c r="P162" s="463">
        <f>IFERROR('DIR2'!DC135,"")</f>
        <v>0</v>
      </c>
      <c r="Q162" s="464">
        <f t="shared" si="3"/>
        <v>18.600000000000001</v>
      </c>
      <c r="U162" s="531"/>
      <c r="V162" s="532"/>
      <c r="W162" s="532"/>
      <c r="X162" s="532"/>
      <c r="Y162" s="532"/>
      <c r="Z162" s="532"/>
      <c r="AA162" s="533"/>
    </row>
    <row r="163" spans="3:27" x14ac:dyDescent="0.25">
      <c r="C163" s="465" t="s">
        <v>74</v>
      </c>
      <c r="D163" s="466">
        <f>IFERROR('DIR1'!CY136,"")</f>
        <v>0.2</v>
      </c>
      <c r="E163" s="466">
        <f>IFERROR('DIR1'!CZ136,"")</f>
        <v>19</v>
      </c>
      <c r="F163" s="466">
        <f>IFERROR('DIR1'!DA136,"")</f>
        <v>0.60000000000000009</v>
      </c>
      <c r="G163" s="466">
        <f>IFERROR('DIR1'!DB136,"")</f>
        <v>0</v>
      </c>
      <c r="H163" s="466">
        <f>IFERROR('DIR1'!DC136,"")</f>
        <v>0</v>
      </c>
      <c r="I163" s="467">
        <f t="shared" si="2"/>
        <v>19.8</v>
      </c>
      <c r="K163" s="462" t="s">
        <v>74</v>
      </c>
      <c r="L163" s="463">
        <f>IFERROR('DIR2'!CY136,"")</f>
        <v>0</v>
      </c>
      <c r="M163" s="463">
        <f>IFERROR('DIR2'!CZ136,"")</f>
        <v>11.799999999999999</v>
      </c>
      <c r="N163" s="463">
        <f>IFERROR('DIR2'!DA136,"")</f>
        <v>0.8</v>
      </c>
      <c r="O163" s="463">
        <f>IFERROR('DIR2'!DB136,"")</f>
        <v>0</v>
      </c>
      <c r="P163" s="463">
        <f>IFERROR('DIR2'!DC136,"")</f>
        <v>0</v>
      </c>
      <c r="Q163" s="464">
        <f t="shared" si="3"/>
        <v>12.6</v>
      </c>
      <c r="U163" s="531"/>
      <c r="V163" s="532"/>
      <c r="W163" s="532"/>
      <c r="X163" s="532"/>
      <c r="Y163" s="532"/>
      <c r="Z163" s="532"/>
      <c r="AA163" s="533"/>
    </row>
    <row r="164" spans="3:27" x14ac:dyDescent="0.25">
      <c r="C164" s="465" t="s">
        <v>76</v>
      </c>
      <c r="D164" s="466">
        <f>IFERROR('DIR1'!CY137,"")</f>
        <v>0</v>
      </c>
      <c r="E164" s="466">
        <f>IFERROR('DIR1'!CZ137,"")</f>
        <v>10.4</v>
      </c>
      <c r="F164" s="466">
        <f>IFERROR('DIR1'!DA137,"")</f>
        <v>0.8</v>
      </c>
      <c r="G164" s="466">
        <f>IFERROR('DIR1'!DB137,"")</f>
        <v>0</v>
      </c>
      <c r="H164" s="466">
        <f>IFERROR('DIR1'!DC137,"")</f>
        <v>0</v>
      </c>
      <c r="I164" s="467">
        <f t="shared" si="2"/>
        <v>11.200000000000001</v>
      </c>
      <c r="K164" s="465" t="s">
        <v>76</v>
      </c>
      <c r="L164" s="466">
        <f>IFERROR('DIR2'!CY137,"")</f>
        <v>0</v>
      </c>
      <c r="M164" s="466">
        <f>IFERROR('DIR2'!CZ137,"")</f>
        <v>7.6000000000000005</v>
      </c>
      <c r="N164" s="466">
        <f>IFERROR('DIR2'!DA137,"")</f>
        <v>0.4</v>
      </c>
      <c r="O164" s="466">
        <f>IFERROR('DIR2'!DB137,"")</f>
        <v>0</v>
      </c>
      <c r="P164" s="466">
        <f>IFERROR('DIR2'!DC137,"")</f>
        <v>0</v>
      </c>
      <c r="Q164" s="467">
        <f t="shared" si="3"/>
        <v>8</v>
      </c>
      <c r="U164" s="531"/>
      <c r="V164" s="532"/>
      <c r="W164" s="532"/>
      <c r="X164" s="532"/>
      <c r="Y164" s="532"/>
      <c r="Z164" s="532"/>
      <c r="AA164" s="533"/>
    </row>
    <row r="165" spans="3:27" x14ac:dyDescent="0.25">
      <c r="C165" s="450" t="s">
        <v>78</v>
      </c>
      <c r="D165" s="452">
        <f>IFERROR('DIR1'!CY138,"")</f>
        <v>0</v>
      </c>
      <c r="E165" s="452">
        <f>IFERROR('DIR1'!CZ138,"")</f>
        <v>6.4</v>
      </c>
      <c r="F165" s="452">
        <f>IFERROR('DIR1'!DA138,"")</f>
        <v>0</v>
      </c>
      <c r="G165" s="452">
        <f>IFERROR('DIR1'!DB138,"")</f>
        <v>0</v>
      </c>
      <c r="H165" s="452">
        <f>IFERROR('DIR1'!DC138,"")</f>
        <v>0</v>
      </c>
      <c r="I165" s="455">
        <f t="shared" si="2"/>
        <v>6.4</v>
      </c>
      <c r="K165" s="450" t="s">
        <v>78</v>
      </c>
      <c r="L165" s="452">
        <f>IFERROR('DIR2'!CY138,"")</f>
        <v>0.2</v>
      </c>
      <c r="M165" s="452">
        <f>IFERROR('DIR2'!CZ138,"")</f>
        <v>1.7999999999999998</v>
      </c>
      <c r="N165" s="452">
        <f>IFERROR('DIR2'!DA138,"")</f>
        <v>0.2</v>
      </c>
      <c r="O165" s="452">
        <f>IFERROR('DIR2'!DB138,"")</f>
        <v>0</v>
      </c>
      <c r="P165" s="452">
        <f>IFERROR('DIR2'!DC138,"")</f>
        <v>0</v>
      </c>
      <c r="Q165" s="455">
        <f t="shared" si="3"/>
        <v>2.1999999999999997</v>
      </c>
      <c r="U165" s="531"/>
      <c r="V165" s="532"/>
      <c r="W165" s="532"/>
      <c r="X165" s="532"/>
      <c r="Y165" s="532"/>
      <c r="Z165" s="532"/>
      <c r="AA165" s="533"/>
    </row>
    <row r="166" spans="3:27" x14ac:dyDescent="0.25">
      <c r="C166" s="459" t="s">
        <v>173</v>
      </c>
      <c r="D166" s="460">
        <f>SUM(D149:D160)</f>
        <v>11.600000000000001</v>
      </c>
      <c r="E166" s="460">
        <f>SUMIF(E149:E160,"&lt;&gt;#DIV/0!")</f>
        <v>509</v>
      </c>
      <c r="F166" s="460">
        <f>SUMIF(F149:F160,"&lt;&gt;#DIV/0!")</f>
        <v>64.800000000000011</v>
      </c>
      <c r="G166" s="460">
        <f>SUMIF(G149:G160,"&lt;&gt;#DIV/0!")</f>
        <v>0.60000000000000009</v>
      </c>
      <c r="H166" s="460">
        <f>SUMIF(H149:H160,"&lt;&gt;#DIV/0!")</f>
        <v>3.4000000000000004</v>
      </c>
      <c r="I166" s="460">
        <f>SUMIF(I149:I160,"&lt;&gt;#DIV/0!")</f>
        <v>589.4</v>
      </c>
      <c r="K166" s="459" t="s">
        <v>173</v>
      </c>
      <c r="L166" s="460">
        <f>SUM(L149:L160)</f>
        <v>13</v>
      </c>
      <c r="M166" s="460">
        <f t="shared" ref="M166:O166" si="4">SUM(M149:M160)</f>
        <v>508.59999999999997</v>
      </c>
      <c r="N166" s="460">
        <f t="shared" si="4"/>
        <v>57</v>
      </c>
      <c r="O166" s="460">
        <f t="shared" si="4"/>
        <v>0.4</v>
      </c>
      <c r="P166" s="460">
        <f>SUM(P149:P160)</f>
        <v>2.2000000000000006</v>
      </c>
      <c r="Q166" s="460">
        <f>SUMIF(Q149:Q160,"&lt;&gt;#DIV/0!")</f>
        <v>581.20000000000005</v>
      </c>
      <c r="U166" s="534"/>
      <c r="V166" s="533"/>
      <c r="W166" s="533"/>
      <c r="X166" s="533"/>
      <c r="Y166" s="533"/>
      <c r="Z166" s="533"/>
      <c r="AA166" s="533"/>
    </row>
    <row r="167" spans="3:27" x14ac:dyDescent="0.25">
      <c r="C167" s="708" t="s">
        <v>174</v>
      </c>
      <c r="D167" s="709">
        <f>SUM(D142:D165)</f>
        <v>13.200000000000001</v>
      </c>
      <c r="E167" s="709">
        <f>SUMIF(E142:E165,"&lt;&gt;#DIV/0!")</f>
        <v>631</v>
      </c>
      <c r="F167" s="709">
        <f>SUMIF(F142:F165,"&lt;&gt;#DIV/0!")</f>
        <v>72.2</v>
      </c>
      <c r="G167" s="709">
        <f>SUMIF(G142:G165,"&lt;&gt;#DIV/0!")</f>
        <v>0.8</v>
      </c>
      <c r="H167" s="709">
        <f>SUMIF(H142:H165,"&lt;&gt;#DIV/0!")</f>
        <v>3.4000000000000004</v>
      </c>
      <c r="I167" s="709">
        <f>SUMIF(I142:I165,"&lt;&gt;#DIV/0!")</f>
        <v>720.59999999999991</v>
      </c>
      <c r="K167" s="713" t="s">
        <v>174</v>
      </c>
      <c r="L167" s="714">
        <f>SUM(L142:L165)</f>
        <v>14</v>
      </c>
      <c r="M167" s="714">
        <f t="shared" ref="M167:P167" si="5">SUM(M142:M165)</f>
        <v>616.39999999999986</v>
      </c>
      <c r="N167" s="714">
        <f t="shared" si="5"/>
        <v>63.8</v>
      </c>
      <c r="O167" s="714">
        <f t="shared" si="5"/>
        <v>0.4</v>
      </c>
      <c r="P167" s="714">
        <f t="shared" si="5"/>
        <v>2.2000000000000006</v>
      </c>
      <c r="Q167" s="714">
        <f>SUMIF(Q142:Q165,"&lt;&gt;#DIV/0!")</f>
        <v>696.80000000000007</v>
      </c>
      <c r="U167" s="535"/>
      <c r="V167" s="536"/>
      <c r="W167" s="536"/>
      <c r="X167" s="536"/>
      <c r="Y167" s="536"/>
      <c r="Z167" s="536"/>
      <c r="AA167" s="536"/>
    </row>
    <row r="168" spans="3:27" x14ac:dyDescent="0.25">
      <c r="C168" s="448"/>
      <c r="D168" s="453">
        <f>IF($I$167&lt;&gt;0,D167/$I$167,0)</f>
        <v>1.8318068276436308E-2</v>
      </c>
      <c r="E168" s="453">
        <f>IF($I$167&lt;&gt;0,E167/$I$167,0)</f>
        <v>0.87565917291146278</v>
      </c>
      <c r="F168" s="453">
        <f>IF($I$167&lt;&gt;0,F167/$I$167,0)</f>
        <v>0.10019428254232586</v>
      </c>
      <c r="G168" s="453">
        <f>IF($I$167&lt;&gt;0,G167/$I$167,0)</f>
        <v>1.1101859561476548E-3</v>
      </c>
      <c r="H168" s="453">
        <f>IF($I$167&lt;&gt;0,H167/$I$167,0)</f>
        <v>4.7182903136275336E-3</v>
      </c>
      <c r="I168" s="447"/>
      <c r="J168" s="19"/>
      <c r="K168" s="448"/>
      <c r="L168" s="461">
        <f>IF($Q$167&lt;&gt;0,L167/$Q$167,0)</f>
        <v>2.0091848450057403E-2</v>
      </c>
      <c r="M168" s="461">
        <f t="shared" ref="M168:P168" si="6">IF($Q$167&lt;&gt;0,M167/$Q$167,0)</f>
        <v>0.88461538461538436</v>
      </c>
      <c r="N168" s="461">
        <f t="shared" si="6"/>
        <v>9.1561423650975873E-2</v>
      </c>
      <c r="O168" s="461">
        <f t="shared" si="6"/>
        <v>5.7405281285878302E-4</v>
      </c>
      <c r="P168" s="461">
        <f t="shared" si="6"/>
        <v>3.1572904707233072E-3</v>
      </c>
      <c r="Q168" s="447"/>
      <c r="U168" s="448"/>
      <c r="V168" s="447"/>
      <c r="W168" s="447"/>
      <c r="X168" s="447"/>
      <c r="Y168" s="447"/>
      <c r="Z168" s="447"/>
      <c r="AA168" s="447"/>
    </row>
    <row r="169" spans="3:27" x14ac:dyDescent="0.25">
      <c r="C169" s="19"/>
      <c r="I169" s="19"/>
      <c r="U169" s="537"/>
      <c r="V169" s="537"/>
      <c r="W169" s="537"/>
      <c r="X169" s="537"/>
      <c r="Y169" s="537"/>
      <c r="Z169" s="537"/>
      <c r="AA169" s="537"/>
    </row>
    <row r="170" spans="3:27" ht="50.1" customHeight="1" x14ac:dyDescent="0.25">
      <c r="C170" s="737" t="str">
        <f>"Average daily "&amp;LOWER(config!CI5)&amp;" and "&amp;LOWER(config!CI6)&amp;" volumes by class (condensed to the AQMA scheme), including 12hr totals for 0700-1900 and overall average percentages. Calculated from all available data over "&amp;config!AC16&amp;" weekdays. See 'Equipment &amp; Methodology' below for accuracy details."</f>
        <v>Average daily eastbound and westbound volumes by class (condensed to the AQMA scheme), including 12hr totals for 0700-1900 and overall average percentages. Calculated from all available data over 5 weekdays. See 'Equipment &amp; Methodology' below for accuracy details.</v>
      </c>
      <c r="D170" s="737"/>
      <c r="E170" s="737"/>
      <c r="F170" s="737"/>
      <c r="G170" s="737"/>
      <c r="H170" s="737"/>
      <c r="I170" s="737"/>
      <c r="J170" s="737"/>
      <c r="K170" s="737"/>
      <c r="L170" s="737"/>
      <c r="M170" s="737"/>
      <c r="N170" s="737"/>
      <c r="O170" s="737"/>
      <c r="P170" s="737"/>
      <c r="Q170" s="737"/>
    </row>
    <row r="171" spans="3:27" ht="75" customHeight="1" x14ac:dyDescent="0.4">
      <c r="C171" s="561" t="s">
        <v>303</v>
      </c>
      <c r="D171" s="213"/>
      <c r="E171" s="213"/>
      <c r="F171" s="213"/>
      <c r="G171" s="213"/>
      <c r="H171" s="213"/>
      <c r="I171" s="213"/>
      <c r="J171" s="174"/>
      <c r="K171" s="174"/>
      <c r="L171" s="174"/>
      <c r="M171" s="174"/>
      <c r="N171" s="174"/>
      <c r="O171" s="174"/>
      <c r="P171" s="174"/>
      <c r="Q171" s="174"/>
      <c r="R171" s="268"/>
    </row>
    <row r="172" spans="3:27" ht="15" customHeight="1" x14ac:dyDescent="0.25">
      <c r="C172" s="269"/>
      <c r="D172" s="269"/>
      <c r="E172" s="269"/>
      <c r="F172" s="269"/>
      <c r="G172" s="269"/>
      <c r="H172" s="269"/>
      <c r="I172" s="269"/>
      <c r="J172" s="269"/>
      <c r="K172" s="269"/>
      <c r="L172" s="269"/>
      <c r="M172" s="269"/>
      <c r="N172" s="269"/>
      <c r="O172" s="269"/>
      <c r="P172" s="269"/>
      <c r="Q172" s="269"/>
    </row>
    <row r="173" spans="3:27" ht="15" customHeight="1" x14ac:dyDescent="0.25">
      <c r="C173" s="269"/>
      <c r="D173" s="269"/>
      <c r="E173" s="269"/>
      <c r="F173" s="269"/>
      <c r="G173" s="269"/>
      <c r="H173" s="269"/>
      <c r="I173" s="269"/>
      <c r="J173" s="269"/>
      <c r="K173" s="737" t="s">
        <v>307</v>
      </c>
      <c r="L173" s="737"/>
      <c r="M173" s="737"/>
      <c r="N173" s="737"/>
      <c r="O173" s="737"/>
      <c r="P173" s="737"/>
      <c r="Q173" s="737"/>
    </row>
    <row r="174" spans="3:27" ht="15" customHeight="1" x14ac:dyDescent="0.25">
      <c r="C174" s="269"/>
      <c r="D174" s="269"/>
      <c r="E174" s="269"/>
      <c r="F174" s="269"/>
      <c r="G174" s="269"/>
      <c r="H174" s="269"/>
      <c r="I174" s="269"/>
      <c r="J174" s="269"/>
      <c r="K174" s="737"/>
      <c r="L174" s="737"/>
      <c r="M174" s="737"/>
      <c r="N174" s="737"/>
      <c r="O174" s="737"/>
      <c r="P174" s="737"/>
      <c r="Q174" s="737"/>
    </row>
    <row r="175" spans="3:27" ht="15" customHeight="1" x14ac:dyDescent="0.25">
      <c r="C175" s="269"/>
      <c r="D175" s="269"/>
      <c r="E175" s="269"/>
      <c r="F175" s="269"/>
      <c r="G175" s="269"/>
      <c r="H175" s="269"/>
      <c r="I175" s="269"/>
      <c r="J175" s="269"/>
      <c r="K175" s="737"/>
      <c r="L175" s="737"/>
      <c r="M175" s="737"/>
      <c r="N175" s="737"/>
      <c r="O175" s="737"/>
      <c r="P175" s="737"/>
      <c r="Q175" s="737"/>
    </row>
    <row r="176" spans="3:27" ht="15" customHeight="1" x14ac:dyDescent="0.25">
      <c r="C176" s="269"/>
      <c r="D176" s="269"/>
      <c r="E176" s="269"/>
      <c r="F176" s="269"/>
      <c r="G176" s="269"/>
      <c r="H176" s="269"/>
      <c r="I176" s="269"/>
      <c r="J176" s="269"/>
      <c r="K176" s="737"/>
      <c r="L176" s="737"/>
      <c r="M176" s="737"/>
      <c r="N176" s="737"/>
      <c r="O176" s="737"/>
      <c r="P176" s="737"/>
      <c r="Q176" s="737"/>
    </row>
    <row r="177" spans="3:17" ht="15" customHeight="1" x14ac:dyDescent="0.25">
      <c r="C177" s="269"/>
      <c r="D177" s="269"/>
      <c r="E177" s="269"/>
      <c r="F177" s="269"/>
      <c r="G177" s="269"/>
      <c r="H177" s="269"/>
      <c r="I177" s="269"/>
      <c r="J177" s="269"/>
      <c r="K177" s="737"/>
      <c r="L177" s="737"/>
      <c r="M177" s="737"/>
      <c r="N177" s="737"/>
      <c r="O177" s="737"/>
      <c r="P177" s="737"/>
      <c r="Q177" s="737"/>
    </row>
    <row r="178" spans="3:17" ht="15" customHeight="1" x14ac:dyDescent="0.25">
      <c r="C178" s="269"/>
      <c r="D178" s="269"/>
      <c r="E178" s="269"/>
      <c r="F178" s="269"/>
      <c r="G178" s="269"/>
      <c r="H178" s="269"/>
      <c r="I178" s="269"/>
      <c r="J178" s="269"/>
      <c r="K178" s="737"/>
      <c r="L178" s="737"/>
      <c r="M178" s="737"/>
      <c r="N178" s="737"/>
      <c r="O178" s="737"/>
      <c r="P178" s="737"/>
      <c r="Q178" s="737"/>
    </row>
    <row r="179" spans="3:17" ht="15" customHeight="1" x14ac:dyDescent="0.25">
      <c r="C179" s="269"/>
      <c r="D179" s="269"/>
      <c r="E179" s="269"/>
      <c r="F179" s="269"/>
      <c r="G179" s="269"/>
      <c r="H179" s="269"/>
      <c r="I179" s="269"/>
      <c r="J179" s="269"/>
      <c r="K179" s="737"/>
      <c r="L179" s="737"/>
      <c r="M179" s="737"/>
      <c r="N179" s="737"/>
      <c r="O179" s="737"/>
      <c r="P179" s="737"/>
      <c r="Q179" s="737"/>
    </row>
    <row r="180" spans="3:17" ht="15" customHeight="1" x14ac:dyDescent="0.25">
      <c r="C180" s="269"/>
      <c r="D180" s="269"/>
      <c r="E180" s="269"/>
      <c r="F180" s="269"/>
      <c r="G180" s="269"/>
      <c r="H180" s="269"/>
      <c r="I180" s="269"/>
      <c r="J180" s="269"/>
      <c r="K180" s="737"/>
      <c r="L180" s="737"/>
      <c r="M180" s="737"/>
      <c r="N180" s="737"/>
      <c r="O180" s="737"/>
      <c r="P180" s="737"/>
      <c r="Q180" s="737"/>
    </row>
    <row r="181" spans="3:17" ht="15" customHeight="1" x14ac:dyDescent="0.25">
      <c r="C181" s="269"/>
      <c r="D181" s="269"/>
      <c r="E181" s="269"/>
      <c r="F181" s="269"/>
      <c r="G181" s="269"/>
      <c r="H181" s="269"/>
      <c r="I181" s="269"/>
      <c r="J181" s="269"/>
      <c r="K181" s="737"/>
      <c r="L181" s="737"/>
      <c r="M181" s="737"/>
      <c r="N181" s="737"/>
      <c r="O181" s="737"/>
      <c r="P181" s="737"/>
      <c r="Q181" s="737"/>
    </row>
    <row r="182" spans="3:17" ht="15" customHeight="1" x14ac:dyDescent="0.25">
      <c r="C182" s="269"/>
      <c r="D182" s="269"/>
      <c r="E182" s="269"/>
      <c r="F182" s="269"/>
      <c r="G182" s="269"/>
      <c r="H182" s="269"/>
      <c r="I182" s="269"/>
      <c r="J182" s="269"/>
      <c r="K182" s="737"/>
      <c r="L182" s="737"/>
      <c r="M182" s="737"/>
      <c r="N182" s="737"/>
      <c r="O182" s="737"/>
      <c r="P182" s="737"/>
      <c r="Q182" s="737"/>
    </row>
    <row r="183" spans="3:17" ht="15" customHeight="1" x14ac:dyDescent="0.25">
      <c r="C183" s="269"/>
      <c r="D183" s="269"/>
      <c r="E183" s="269"/>
      <c r="F183" s="269"/>
      <c r="G183" s="269"/>
      <c r="H183" s="269"/>
      <c r="I183" s="269"/>
      <c r="J183" s="269"/>
      <c r="K183" s="737"/>
      <c r="L183" s="737"/>
      <c r="M183" s="737"/>
      <c r="N183" s="737"/>
      <c r="O183" s="737"/>
      <c r="P183" s="737"/>
      <c r="Q183" s="737"/>
    </row>
    <row r="184" spans="3:17" ht="15" customHeight="1" x14ac:dyDescent="0.25">
      <c r="C184" s="269"/>
      <c r="D184" s="269"/>
      <c r="E184" s="269"/>
      <c r="F184" s="269"/>
      <c r="G184" s="269"/>
      <c r="H184" s="269"/>
      <c r="I184" s="269"/>
      <c r="J184" s="269"/>
      <c r="K184" s="737"/>
      <c r="L184" s="737"/>
      <c r="M184" s="737"/>
      <c r="N184" s="737"/>
      <c r="O184" s="737"/>
      <c r="P184" s="737"/>
      <c r="Q184" s="737"/>
    </row>
    <row r="185" spans="3:17" ht="15" customHeight="1" x14ac:dyDescent="0.25">
      <c r="C185" s="269"/>
      <c r="D185" s="269"/>
      <c r="E185" s="269"/>
      <c r="F185" s="269"/>
      <c r="G185" s="269"/>
      <c r="H185" s="269"/>
      <c r="I185" s="269"/>
      <c r="J185" s="269"/>
      <c r="K185" s="269"/>
      <c r="L185" s="269"/>
      <c r="M185" s="269"/>
      <c r="N185" s="269"/>
      <c r="O185" s="269"/>
      <c r="P185" s="269"/>
      <c r="Q185" s="269"/>
    </row>
    <row r="186" spans="3:17" ht="60" customHeight="1" x14ac:dyDescent="0.25">
      <c r="C186" s="420"/>
      <c r="D186" s="420"/>
      <c r="E186" s="420"/>
      <c r="F186" s="420"/>
      <c r="G186" s="420"/>
      <c r="H186" s="420"/>
      <c r="I186" s="420"/>
      <c r="J186" s="420"/>
      <c r="K186" s="420"/>
      <c r="L186" s="735" t="str">
        <f ca="1">L119</f>
        <v>18225-01 - Plains Rd (W), Gt Totham</v>
      </c>
      <c r="M186" s="735"/>
      <c r="N186" s="735"/>
      <c r="O186" s="735"/>
      <c r="P186" s="735"/>
      <c r="Q186" s="735"/>
    </row>
    <row r="187" spans="3:17" ht="75" customHeight="1" x14ac:dyDescent="0.4">
      <c r="C187" s="561" t="s">
        <v>239</v>
      </c>
      <c r="D187" s="215"/>
      <c r="E187" s="215"/>
      <c r="F187" s="215"/>
      <c r="G187" s="215"/>
      <c r="H187" s="215"/>
      <c r="I187" s="215"/>
      <c r="J187" s="216"/>
      <c r="K187" s="216"/>
      <c r="L187" s="216"/>
      <c r="M187" s="216"/>
    </row>
    <row r="188" spans="3:17" ht="25.5" customHeight="1" x14ac:dyDescent="0.25">
      <c r="C188" s="217" t="s">
        <v>228</v>
      </c>
      <c r="E188" s="216"/>
      <c r="F188" s="216"/>
      <c r="G188" s="216"/>
      <c r="H188" s="216"/>
      <c r="I188" s="216"/>
      <c r="J188" s="216"/>
      <c r="K188" s="217" t="s">
        <v>204</v>
      </c>
    </row>
    <row r="189" spans="3:17" ht="270" customHeight="1" x14ac:dyDescent="0.25">
      <c r="C189" s="724" t="s">
        <v>405</v>
      </c>
      <c r="D189" s="724"/>
      <c r="E189" s="724"/>
      <c r="F189" s="724"/>
      <c r="G189" s="724"/>
      <c r="H189" s="724"/>
      <c r="I189" s="724"/>
      <c r="J189" s="216"/>
      <c r="K189" s="740" t="s">
        <v>229</v>
      </c>
      <c r="L189" s="740"/>
      <c r="M189" s="740"/>
      <c r="N189" s="740"/>
      <c r="O189" s="740"/>
      <c r="P189" s="740"/>
      <c r="Q189" s="740"/>
    </row>
    <row r="190" spans="3:17" ht="15" customHeight="1" x14ac:dyDescent="0.25">
      <c r="C190" s="218"/>
      <c r="D190" s="218"/>
      <c r="E190" s="218"/>
      <c r="F190" s="218"/>
      <c r="G190" s="218"/>
      <c r="H190" s="218"/>
      <c r="I190" s="218"/>
      <c r="J190" s="216"/>
      <c r="K190" s="218"/>
      <c r="L190" s="218"/>
      <c r="M190" s="218"/>
      <c r="N190" s="218"/>
      <c r="O190" s="218"/>
      <c r="P190" s="218"/>
      <c r="Q190" s="218"/>
    </row>
    <row r="191" spans="3:17" ht="25.5" customHeight="1" x14ac:dyDescent="0.25">
      <c r="C191" s="219" t="s">
        <v>203</v>
      </c>
      <c r="K191" s="219" t="s">
        <v>205</v>
      </c>
    </row>
    <row r="192" spans="3:17" ht="90" customHeight="1" x14ac:dyDescent="0.25">
      <c r="C192" s="724" t="s">
        <v>227</v>
      </c>
      <c r="D192" s="724"/>
      <c r="E192" s="724"/>
      <c r="F192" s="724"/>
      <c r="G192" s="724"/>
      <c r="H192" s="724"/>
      <c r="I192" s="724"/>
      <c r="J192" s="26"/>
      <c r="K192" s="724" t="s">
        <v>226</v>
      </c>
      <c r="L192" s="724"/>
      <c r="M192" s="724"/>
      <c r="N192" s="724"/>
      <c r="O192" s="724"/>
      <c r="P192" s="724"/>
      <c r="Q192" s="724"/>
    </row>
    <row r="193" spans="3:17" ht="25.5" customHeight="1" x14ac:dyDescent="0.25">
      <c r="C193" s="220" t="s">
        <v>211</v>
      </c>
      <c r="D193" s="220" t="s">
        <v>212</v>
      </c>
      <c r="E193" s="725" t="s">
        <v>172</v>
      </c>
      <c r="F193" s="725"/>
      <c r="G193" s="725"/>
      <c r="H193" s="258" t="s">
        <v>213</v>
      </c>
      <c r="I193" s="221" t="s">
        <v>295</v>
      </c>
      <c r="J193" s="550" t="s">
        <v>214</v>
      </c>
      <c r="K193" s="553" t="s">
        <v>218</v>
      </c>
      <c r="L193" s="196"/>
      <c r="M193" s="219" t="s">
        <v>210</v>
      </c>
      <c r="N193" s="196"/>
      <c r="O193" s="196"/>
      <c r="P193" s="196"/>
      <c r="Q193" s="196"/>
    </row>
    <row r="194" spans="3:17" ht="25.5" customHeight="1" x14ac:dyDescent="0.25">
      <c r="C194" s="256">
        <v>1</v>
      </c>
      <c r="D194" s="259" t="s">
        <v>185</v>
      </c>
      <c r="E194" s="734" t="s">
        <v>186</v>
      </c>
      <c r="F194" s="734"/>
      <c r="G194" s="734"/>
      <c r="H194" s="730" t="s">
        <v>207</v>
      </c>
      <c r="I194" s="261" t="s">
        <v>296</v>
      </c>
      <c r="J194" s="551" t="s">
        <v>185</v>
      </c>
      <c r="K194" s="554" t="s">
        <v>185</v>
      </c>
      <c r="L194" s="196"/>
      <c r="M194" s="724" t="s">
        <v>306</v>
      </c>
      <c r="N194" s="724"/>
      <c r="O194" s="724"/>
      <c r="P194" s="724"/>
      <c r="Q194" s="724"/>
    </row>
    <row r="195" spans="3:17" ht="26.1" customHeight="1" x14ac:dyDescent="0.25">
      <c r="C195" s="257">
        <v>2</v>
      </c>
      <c r="D195" s="260" t="s">
        <v>187</v>
      </c>
      <c r="E195" s="723" t="s">
        <v>221</v>
      </c>
      <c r="F195" s="723"/>
      <c r="G195" s="723"/>
      <c r="H195" s="732"/>
      <c r="I195" s="726" t="s">
        <v>300</v>
      </c>
      <c r="J195" s="736" t="s">
        <v>215</v>
      </c>
      <c r="K195" s="739" t="s">
        <v>222</v>
      </c>
      <c r="M195" s="724"/>
      <c r="N195" s="724"/>
      <c r="O195" s="724"/>
      <c r="P195" s="724"/>
      <c r="Q195" s="724"/>
    </row>
    <row r="196" spans="3:17" ht="26.1" customHeight="1" x14ac:dyDescent="0.25">
      <c r="C196" s="257">
        <v>3</v>
      </c>
      <c r="D196" s="260" t="s">
        <v>188</v>
      </c>
      <c r="E196" s="723" t="s">
        <v>189</v>
      </c>
      <c r="F196" s="723"/>
      <c r="G196" s="723"/>
      <c r="H196" s="730" t="s">
        <v>208</v>
      </c>
      <c r="I196" s="727"/>
      <c r="J196" s="736"/>
      <c r="K196" s="738"/>
      <c r="M196" s="724"/>
      <c r="N196" s="724"/>
      <c r="O196" s="724"/>
      <c r="P196" s="724"/>
      <c r="Q196" s="724"/>
    </row>
    <row r="197" spans="3:17" ht="26.1" customHeight="1" x14ac:dyDescent="0.25">
      <c r="C197" s="257">
        <v>4</v>
      </c>
      <c r="D197" s="260" t="s">
        <v>190</v>
      </c>
      <c r="E197" s="723" t="s">
        <v>191</v>
      </c>
      <c r="F197" s="723"/>
      <c r="G197" s="723"/>
      <c r="H197" s="731"/>
      <c r="I197" s="261" t="s">
        <v>301</v>
      </c>
      <c r="J197" s="736" t="s">
        <v>223</v>
      </c>
      <c r="K197" s="555" t="s">
        <v>224</v>
      </c>
      <c r="M197" s="724"/>
      <c r="N197" s="724"/>
      <c r="O197" s="724"/>
      <c r="P197" s="724"/>
      <c r="Q197" s="724"/>
    </row>
    <row r="198" spans="3:17" ht="26.1" customHeight="1" x14ac:dyDescent="0.25">
      <c r="C198" s="257">
        <v>5</v>
      </c>
      <c r="D198" s="260" t="s">
        <v>192</v>
      </c>
      <c r="E198" s="723" t="s">
        <v>193</v>
      </c>
      <c r="F198" s="723"/>
      <c r="G198" s="723"/>
      <c r="H198" s="731"/>
      <c r="I198" s="261" t="s">
        <v>297</v>
      </c>
      <c r="J198" s="736"/>
      <c r="K198" s="555" t="s">
        <v>225</v>
      </c>
      <c r="M198" s="724"/>
      <c r="N198" s="724"/>
      <c r="O198" s="724"/>
      <c r="P198" s="724"/>
      <c r="Q198" s="724"/>
    </row>
    <row r="199" spans="3:17" ht="26.1" customHeight="1" x14ac:dyDescent="0.25">
      <c r="C199" s="257">
        <v>6</v>
      </c>
      <c r="D199" s="260" t="s">
        <v>194</v>
      </c>
      <c r="E199" s="723" t="s">
        <v>195</v>
      </c>
      <c r="F199" s="723"/>
      <c r="G199" s="723"/>
      <c r="H199" s="732"/>
      <c r="I199" s="726" t="s">
        <v>298</v>
      </c>
      <c r="J199" s="552" t="s">
        <v>217</v>
      </c>
      <c r="K199" s="556" t="s">
        <v>220</v>
      </c>
      <c r="M199" s="724"/>
      <c r="N199" s="724"/>
      <c r="O199" s="724"/>
      <c r="P199" s="724"/>
      <c r="Q199" s="724"/>
    </row>
    <row r="200" spans="3:17" ht="26.1" customHeight="1" x14ac:dyDescent="0.25">
      <c r="C200" s="257">
        <v>7</v>
      </c>
      <c r="D200" s="260" t="s">
        <v>196</v>
      </c>
      <c r="E200" s="723" t="s">
        <v>197</v>
      </c>
      <c r="F200" s="723"/>
      <c r="G200" s="723"/>
      <c r="H200" s="730" t="s">
        <v>209</v>
      </c>
      <c r="I200" s="733"/>
      <c r="J200" s="736" t="s">
        <v>216</v>
      </c>
      <c r="K200" s="738" t="s">
        <v>219</v>
      </c>
      <c r="M200" s="724"/>
      <c r="N200" s="724"/>
      <c r="O200" s="724"/>
      <c r="P200" s="724"/>
      <c r="Q200" s="724"/>
    </row>
    <row r="201" spans="3:17" ht="26.1" customHeight="1" x14ac:dyDescent="0.25">
      <c r="C201" s="257">
        <v>8</v>
      </c>
      <c r="D201" s="260" t="s">
        <v>198</v>
      </c>
      <c r="E201" s="723" t="s">
        <v>199</v>
      </c>
      <c r="F201" s="723"/>
      <c r="G201" s="723"/>
      <c r="H201" s="731"/>
      <c r="I201" s="733"/>
      <c r="J201" s="736"/>
      <c r="K201" s="738"/>
      <c r="M201" s="217" t="s">
        <v>206</v>
      </c>
      <c r="N201" s="26"/>
      <c r="O201" s="26"/>
      <c r="P201" s="26"/>
      <c r="Q201" s="26"/>
    </row>
    <row r="202" spans="3:17" ht="26.1" customHeight="1" x14ac:dyDescent="0.25">
      <c r="C202" s="257">
        <v>9</v>
      </c>
      <c r="D202" s="260" t="s">
        <v>200</v>
      </c>
      <c r="E202" s="723" t="s">
        <v>201</v>
      </c>
      <c r="F202" s="723"/>
      <c r="G202" s="723"/>
      <c r="H202" s="731"/>
      <c r="I202" s="733"/>
      <c r="J202" s="736"/>
      <c r="K202" s="738"/>
      <c r="M202" s="740" t="s">
        <v>290</v>
      </c>
      <c r="N202" s="740"/>
      <c r="O202" s="740"/>
      <c r="P202" s="740"/>
      <c r="Q202" s="740"/>
    </row>
    <row r="203" spans="3:17" ht="26.1" customHeight="1" x14ac:dyDescent="0.25">
      <c r="C203" s="257">
        <v>10</v>
      </c>
      <c r="D203" s="260" t="s">
        <v>202</v>
      </c>
      <c r="E203" s="723" t="s">
        <v>164</v>
      </c>
      <c r="F203" s="723"/>
      <c r="G203" s="723"/>
      <c r="H203" s="732"/>
      <c r="I203" s="727"/>
      <c r="J203" s="736"/>
      <c r="K203" s="738"/>
      <c r="M203" s="740"/>
      <c r="N203" s="740"/>
      <c r="O203" s="740"/>
      <c r="P203" s="740"/>
      <c r="Q203" s="740"/>
    </row>
    <row r="204" spans="3:17" ht="26.1" customHeight="1" x14ac:dyDescent="0.25">
      <c r="C204" s="222"/>
      <c r="D204" s="222"/>
      <c r="E204" s="222"/>
      <c r="F204" s="222"/>
      <c r="G204" s="222"/>
      <c r="H204" s="222"/>
      <c r="I204" s="222"/>
      <c r="J204" s="27"/>
      <c r="K204" s="28"/>
      <c r="M204" s="740"/>
      <c r="N204" s="740"/>
      <c r="O204" s="740"/>
      <c r="P204" s="740"/>
      <c r="Q204" s="740"/>
    </row>
    <row r="205" spans="3:17" ht="26.1" customHeight="1" x14ac:dyDescent="0.25">
      <c r="C205" s="229" t="s">
        <v>176</v>
      </c>
      <c r="D205" s="230"/>
      <c r="E205" s="728">
        <f ca="1">IF(config!D16="", TODAY(),config!D16)</f>
        <v>43276</v>
      </c>
      <c r="F205" s="728"/>
      <c r="G205" s="729" t="str">
        <f>config!G3</f>
        <v>v6.9c</v>
      </c>
      <c r="H205" s="729"/>
      <c r="J205" s="27"/>
      <c r="K205" s="28"/>
      <c r="M205" s="196"/>
      <c r="N205" s="196"/>
      <c r="O205" s="196"/>
      <c r="P205" s="196"/>
      <c r="Q205" s="196"/>
    </row>
    <row r="206" spans="3:17" ht="17.25" customHeight="1" x14ac:dyDescent="0.25">
      <c r="C206" s="722" t="str">
        <f ca="1">config!D20</f>
        <v>18225-01 . Plains Rd (W) GT TOTHAM . JUN 2018 (ATC).xlsx</v>
      </c>
      <c r="D206" s="722"/>
      <c r="E206" s="722"/>
      <c r="F206" s="722"/>
      <c r="G206" s="722"/>
      <c r="H206" s="722"/>
      <c r="I206" s="26"/>
      <c r="M206" s="196"/>
      <c r="N206" s="196"/>
      <c r="O206" s="196"/>
      <c r="P206" s="196"/>
      <c r="Q206" s="496" t="s">
        <v>406</v>
      </c>
    </row>
    <row r="207" spans="3:17" ht="17.25" customHeight="1" x14ac:dyDescent="0.25"/>
    <row r="210" spans="3:9" ht="15.75" x14ac:dyDescent="0.25">
      <c r="C210" s="217"/>
      <c r="D210" s="216"/>
      <c r="E210" s="216"/>
    </row>
    <row r="211" spans="3:9" x14ac:dyDescent="0.25">
      <c r="C211" s="26"/>
      <c r="D211" s="26"/>
      <c r="E211" s="26"/>
      <c r="F211" s="26"/>
      <c r="G211" s="26"/>
      <c r="H211" s="26"/>
      <c r="I211" s="26"/>
    </row>
  </sheetData>
  <sheetProtection algorithmName="SHA-512" hashValue="PLGtpmE2iczGEYwr1aBnNMjGd4VeC0y+jWND2eXoXtQibNBhRTYX7skygvPY/RxPs2pTtgMulqJr3KecQhwWpQ==" saltValue="x+BgWcBOC80nFlELh3DBZA==" spinCount="100000" sheet="1" objects="1" scenarios="1"/>
  <mergeCells count="76">
    <mergeCell ref="K8:Q14"/>
    <mergeCell ref="Q27:Q28"/>
    <mergeCell ref="I27:I28"/>
    <mergeCell ref="I139:I140"/>
    <mergeCell ref="Q139:Q140"/>
    <mergeCell ref="N55:Q58"/>
    <mergeCell ref="K84:O84"/>
    <mergeCell ref="C80:Q80"/>
    <mergeCell ref="C45:L58"/>
    <mergeCell ref="I63:I64"/>
    <mergeCell ref="Q63:Q64"/>
    <mergeCell ref="C98:H98"/>
    <mergeCell ref="O51:Q51"/>
    <mergeCell ref="P50:Q50"/>
    <mergeCell ref="O45:Q45"/>
    <mergeCell ref="O46:Q46"/>
    <mergeCell ref="K15:Q23"/>
    <mergeCell ref="K6:Q7"/>
    <mergeCell ref="Q117:Q118"/>
    <mergeCell ref="E2:L2"/>
    <mergeCell ref="E3:L3"/>
    <mergeCell ref="E4:L4"/>
    <mergeCell ref="E7:I7"/>
    <mergeCell ref="E8:I8"/>
    <mergeCell ref="E5:I5"/>
    <mergeCell ref="E6:I6"/>
    <mergeCell ref="N50:O50"/>
    <mergeCell ref="I83:I84"/>
    <mergeCell ref="Q83:Q84"/>
    <mergeCell ref="K98:P98"/>
    <mergeCell ref="C79:Q79"/>
    <mergeCell ref="C13:E13"/>
    <mergeCell ref="C25:Q25"/>
    <mergeCell ref="E203:G203"/>
    <mergeCell ref="D108:M108"/>
    <mergeCell ref="G118:P118"/>
    <mergeCell ref="C107:C108"/>
    <mergeCell ref="O48:Q48"/>
    <mergeCell ref="O49:Q49"/>
    <mergeCell ref="K124:Q127"/>
    <mergeCell ref="K128:Q135"/>
    <mergeCell ref="L119:Q119"/>
    <mergeCell ref="L60:Q60"/>
    <mergeCell ref="C170:Q170"/>
    <mergeCell ref="J195:J196"/>
    <mergeCell ref="J200:J203"/>
    <mergeCell ref="K192:Q192"/>
    <mergeCell ref="L186:Q186"/>
    <mergeCell ref="J197:J198"/>
    <mergeCell ref="M194:Q200"/>
    <mergeCell ref="K173:Q184"/>
    <mergeCell ref="K200:K203"/>
    <mergeCell ref="K195:K196"/>
    <mergeCell ref="M202:Q204"/>
    <mergeCell ref="K189:Q189"/>
    <mergeCell ref="E200:G200"/>
    <mergeCell ref="E196:G196"/>
    <mergeCell ref="E199:G199"/>
    <mergeCell ref="E195:G195"/>
    <mergeCell ref="H194:H195"/>
    <mergeCell ref="O47:Q47"/>
    <mergeCell ref="C206:H206"/>
    <mergeCell ref="E202:G202"/>
    <mergeCell ref="C192:I192"/>
    <mergeCell ref="E193:G193"/>
    <mergeCell ref="C189:I189"/>
    <mergeCell ref="I195:I196"/>
    <mergeCell ref="E198:G198"/>
    <mergeCell ref="E197:G197"/>
    <mergeCell ref="E205:F205"/>
    <mergeCell ref="G205:H205"/>
    <mergeCell ref="H196:H199"/>
    <mergeCell ref="I199:I203"/>
    <mergeCell ref="H200:H203"/>
    <mergeCell ref="E194:G194"/>
    <mergeCell ref="E201:G201"/>
  </mergeCells>
  <conditionalFormatting sqref="I142:I165">
    <cfRule type="dataBar" priority="3">
      <dataBar>
        <cfvo type="min"/>
        <cfvo type="max"/>
        <color theme="4" tint="0.59999389629810485"/>
      </dataBar>
      <extLst>
        <ext xmlns:x14="http://schemas.microsoft.com/office/spreadsheetml/2009/9/main" uri="{B025F937-C7B1-47D3-B67F-A62EFF666E3E}">
          <x14:id>{9B8950CF-5478-4CBA-8F63-C6A4EC02EA33}</x14:id>
        </ext>
      </extLst>
    </cfRule>
  </conditionalFormatting>
  <conditionalFormatting sqref="AA142:AA165">
    <cfRule type="dataBar" priority="2">
      <dataBar>
        <cfvo type="min"/>
        <cfvo type="max"/>
        <color theme="5" tint="0.39997558519241921"/>
      </dataBar>
      <extLst>
        <ext xmlns:x14="http://schemas.microsoft.com/office/spreadsheetml/2009/9/main" uri="{B025F937-C7B1-47D3-B67F-A62EFF666E3E}">
          <x14:id>{448CA9C8-F8C0-4B38-98FD-7EC3B3EBF5F3}</x14:id>
        </ext>
      </extLst>
    </cfRule>
  </conditionalFormatting>
  <conditionalFormatting sqref="Q142:Q165">
    <cfRule type="dataBar" priority="1">
      <dataBar>
        <cfvo type="min"/>
        <cfvo type="max"/>
        <color theme="7" tint="0.39997558519241921"/>
      </dataBar>
      <extLst>
        <ext xmlns:x14="http://schemas.microsoft.com/office/spreadsheetml/2009/9/main" uri="{B025F937-C7B1-47D3-B67F-A62EFF666E3E}">
          <x14:id>{7DC9ABA1-EC9C-4CA3-99D9-97C50BF908FE}</x14:id>
        </ext>
      </extLst>
    </cfRule>
  </conditionalFormatting>
  <printOptions horizontalCentered="1"/>
  <pageMargins left="0" right="0" top="0.55118110236220474" bottom="0.55118110236220474" header="0.31496062992125984" footer="0.31496062992125984"/>
  <pageSetup paperSize="9" scale="51" orientation="portrait" r:id="rId1"/>
  <rowBreaks count="3" manualBreakCount="3">
    <brk id="59" min="1" max="17" man="1"/>
    <brk id="118" min="1" max="17" man="1"/>
    <brk id="185" min="1" max="17" man="1"/>
  </rowBreaks>
  <drawing r:id="rId2"/>
  <extLst>
    <ext xmlns:x14="http://schemas.microsoft.com/office/spreadsheetml/2009/9/main" uri="{78C0D931-6437-407d-A8EE-F0AAD7539E65}">
      <x14:conditionalFormattings>
        <x14:conditionalFormatting xmlns:xm="http://schemas.microsoft.com/office/excel/2006/main">
          <x14:cfRule type="dataBar" id="{9B8950CF-5478-4CBA-8F63-C6A4EC02EA33}">
            <x14:dataBar minLength="0" maxLength="100" gradient="0">
              <x14:cfvo type="autoMin"/>
              <x14:cfvo type="autoMax"/>
              <x14:negativeFillColor rgb="FFFF0000"/>
              <x14:axisColor rgb="FF000000"/>
            </x14:dataBar>
          </x14:cfRule>
          <xm:sqref>I142:I165</xm:sqref>
        </x14:conditionalFormatting>
        <x14:conditionalFormatting xmlns:xm="http://schemas.microsoft.com/office/excel/2006/main">
          <x14:cfRule type="dataBar" id="{448CA9C8-F8C0-4B38-98FD-7EC3B3EBF5F3}">
            <x14:dataBar minLength="0" maxLength="100" gradient="0">
              <x14:cfvo type="autoMin"/>
              <x14:cfvo type="autoMax"/>
              <x14:negativeFillColor rgb="FFFF0000"/>
              <x14:axisColor rgb="FF000000"/>
            </x14:dataBar>
          </x14:cfRule>
          <xm:sqref>AA142:AA165</xm:sqref>
        </x14:conditionalFormatting>
        <x14:conditionalFormatting xmlns:xm="http://schemas.microsoft.com/office/excel/2006/main">
          <x14:cfRule type="dataBar" id="{7DC9ABA1-EC9C-4CA3-99D9-97C50BF908FE}">
            <x14:dataBar minLength="0" maxLength="100" gradient="0">
              <x14:cfvo type="autoMin"/>
              <x14:cfvo type="autoMax"/>
              <x14:negativeFillColor rgb="FFFF0000"/>
              <x14:axisColor rgb="FF000000"/>
            </x14:dataBar>
          </x14:cfRule>
          <xm:sqref>Q142:Q165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249977111117893"/>
  </sheetPr>
  <dimension ref="A1:DC762"/>
  <sheetViews>
    <sheetView showGridLines="0" zoomScale="55" zoomScaleNormal="55" workbookViewId="0"/>
  </sheetViews>
  <sheetFormatPr defaultRowHeight="12.75" x14ac:dyDescent="0.2"/>
  <cols>
    <col min="1" max="1" width="14.7109375" style="152" customWidth="1"/>
    <col min="2" max="13" width="7.7109375" style="29" customWidth="1"/>
    <col min="14" max="14" width="7.7109375" style="30" customWidth="1"/>
    <col min="15" max="28" width="7.7109375" style="29" customWidth="1"/>
    <col min="29" max="30" width="7.7109375" style="54" customWidth="1"/>
    <col min="31" max="31" width="7.7109375" style="29" customWidth="1"/>
    <col min="32" max="32" width="7.7109375" style="54" customWidth="1"/>
    <col min="33" max="33" width="7.7109375" style="29" customWidth="1"/>
    <col min="34" max="34" width="7.7109375" style="54" customWidth="1"/>
    <col min="35" max="35" width="7.7109375" style="29" customWidth="1"/>
    <col min="36" max="36" width="7.7109375" style="54" customWidth="1"/>
    <col min="37" max="37" width="9.140625" style="29"/>
    <col min="38" max="39" width="11.140625" style="29" customWidth="1"/>
    <col min="40" max="41" width="9.140625" style="29"/>
    <col min="42" max="42" width="10" style="105" hidden="1" customWidth="1"/>
    <col min="43" max="44" width="9.140625" style="29" hidden="1" customWidth="1"/>
    <col min="45" max="49" width="8.7109375" style="29" hidden="1" customWidth="1"/>
    <col min="50" max="50" width="9.140625" style="29" hidden="1" customWidth="1"/>
    <col min="51" max="51" width="9.140625" style="31" hidden="1" customWidth="1"/>
    <col min="52" max="58" width="8.7109375" style="29" hidden="1" customWidth="1"/>
    <col min="59" max="59" width="9.140625" style="29" hidden="1" customWidth="1"/>
    <col min="60" max="60" width="13.5703125" style="31" hidden="1" customWidth="1"/>
    <col min="61" max="67" width="8.7109375" style="29" hidden="1" customWidth="1"/>
    <col min="68" max="68" width="14.28515625" style="29" hidden="1" customWidth="1"/>
    <col min="69" max="69" width="15.5703125" style="31" hidden="1" customWidth="1"/>
    <col min="70" max="76" width="8.7109375" style="29" hidden="1" customWidth="1"/>
    <col min="77" max="78" width="9.140625" style="29" hidden="1" customWidth="1"/>
    <col min="79" max="80" width="9.140625" style="153" hidden="1" customWidth="1"/>
    <col min="81" max="81" width="9.140625" style="29" hidden="1" customWidth="1"/>
    <col min="82" max="88" width="8.7109375" style="29" hidden="1" customWidth="1"/>
    <col min="89" max="107" width="9.140625" style="29" hidden="1" customWidth="1"/>
    <col min="108" max="16384" width="9.140625" style="29"/>
  </cols>
  <sheetData>
    <row r="1" spans="1:107" ht="153" customHeight="1" x14ac:dyDescent="0.2">
      <c r="A1" s="690" t="s">
        <v>264</v>
      </c>
      <c r="B1" s="674" t="s">
        <v>0</v>
      </c>
      <c r="C1" s="674" t="s">
        <v>1</v>
      </c>
      <c r="D1" s="674" t="s">
        <v>2</v>
      </c>
      <c r="E1" s="674" t="s">
        <v>3</v>
      </c>
      <c r="F1" s="674" t="s">
        <v>4</v>
      </c>
      <c r="G1" s="674" t="s">
        <v>5</v>
      </c>
      <c r="H1" s="674" t="s">
        <v>6</v>
      </c>
      <c r="I1" s="674" t="s">
        <v>7</v>
      </c>
      <c r="J1" s="674" t="s">
        <v>8</v>
      </c>
      <c r="K1" s="674" t="s">
        <v>9</v>
      </c>
      <c r="L1" s="674" t="s">
        <v>10</v>
      </c>
      <c r="M1" s="674"/>
      <c r="N1" s="675" t="s">
        <v>11</v>
      </c>
      <c r="O1" s="674" t="str">
        <f>O13&amp;"-"&amp;O14&amp;"mph"</f>
        <v>0-10mph</v>
      </c>
      <c r="P1" s="674" t="str">
        <f t="shared" ref="P1:AA1" si="0">P13&amp;"-"&amp;P14&amp;"mph"</f>
        <v>10-15mph</v>
      </c>
      <c r="Q1" s="674" t="str">
        <f t="shared" si="0"/>
        <v>15-20mph</v>
      </c>
      <c r="R1" s="674" t="str">
        <f t="shared" si="0"/>
        <v>20-25mph</v>
      </c>
      <c r="S1" s="674" t="str">
        <f t="shared" si="0"/>
        <v>25-30mph</v>
      </c>
      <c r="T1" s="674" t="str">
        <f t="shared" si="0"/>
        <v>30-35mph</v>
      </c>
      <c r="U1" s="674" t="str">
        <f t="shared" si="0"/>
        <v>35-40mph</v>
      </c>
      <c r="V1" s="674" t="str">
        <f t="shared" si="0"/>
        <v>40-45mph</v>
      </c>
      <c r="W1" s="674" t="str">
        <f t="shared" si="0"/>
        <v>45-50mph</v>
      </c>
      <c r="X1" s="674" t="str">
        <f t="shared" si="0"/>
        <v>50-60mph</v>
      </c>
      <c r="Y1" s="674" t="str">
        <f t="shared" si="0"/>
        <v>60-70mph</v>
      </c>
      <c r="Z1" s="674" t="str">
        <f t="shared" si="0"/>
        <v>70-80mph</v>
      </c>
      <c r="AA1" s="674" t="str">
        <f t="shared" si="0"/>
        <v>80-90mph</v>
      </c>
      <c r="AB1" s="674" t="str">
        <f>AB13&amp;"mph+"</f>
        <v>90mph+</v>
      </c>
      <c r="AC1" s="676" t="s">
        <v>12</v>
      </c>
      <c r="AD1" s="676" t="s">
        <v>13</v>
      </c>
      <c r="AE1" s="674" t="s">
        <v>14</v>
      </c>
      <c r="AF1" s="676" t="s">
        <v>15</v>
      </c>
      <c r="AG1" s="674" t="s">
        <v>16</v>
      </c>
      <c r="AH1" s="676" t="s">
        <v>17</v>
      </c>
      <c r="AI1" s="674" t="s">
        <v>18</v>
      </c>
      <c r="AJ1" s="677" t="s">
        <v>19</v>
      </c>
    </row>
    <row r="2" spans="1:107" ht="9.9499999999999993" customHeight="1" x14ac:dyDescent="0.2">
      <c r="A2" s="32"/>
      <c r="B2" s="33"/>
      <c r="C2" s="33"/>
      <c r="D2" s="33"/>
      <c r="E2" s="33"/>
      <c r="F2" s="33"/>
      <c r="G2" s="33"/>
      <c r="H2" s="33"/>
      <c r="I2" s="33"/>
      <c r="J2" s="33"/>
      <c r="K2" s="33"/>
      <c r="L2" s="33"/>
      <c r="M2" s="33"/>
      <c r="N2" s="231"/>
      <c r="O2" s="33"/>
      <c r="P2" s="33"/>
      <c r="Q2" s="33"/>
      <c r="R2" s="33"/>
      <c r="S2" s="33"/>
      <c r="T2" s="33"/>
      <c r="U2" s="33"/>
      <c r="V2" s="33"/>
      <c r="W2" s="33"/>
      <c r="X2" s="33"/>
      <c r="Y2" s="33"/>
      <c r="Z2" s="33"/>
      <c r="AA2" s="33"/>
      <c r="AB2" s="33"/>
      <c r="AC2" s="34"/>
      <c r="AD2" s="34"/>
      <c r="AE2" s="33"/>
      <c r="AF2" s="34"/>
      <c r="AG2" s="33"/>
      <c r="AH2" s="34"/>
      <c r="AI2" s="33"/>
      <c r="AJ2" s="34"/>
    </row>
    <row r="3" spans="1:107" ht="30" customHeight="1" x14ac:dyDescent="0.35">
      <c r="A3" s="223" t="s">
        <v>20</v>
      </c>
      <c r="B3" s="36"/>
      <c r="C3" s="36"/>
      <c r="D3" s="779" t="str">
        <f ca="1">IF(config!D3&lt;&gt;"",config!D3,"UNDEFINED")</f>
        <v>18225 GT TOTHAM</v>
      </c>
      <c r="E3" s="779"/>
      <c r="F3" s="779"/>
      <c r="G3" s="779"/>
      <c r="H3" s="779"/>
      <c r="I3" s="779"/>
      <c r="J3" s="779"/>
      <c r="K3" s="779"/>
      <c r="L3" s="779"/>
      <c r="M3" s="779"/>
      <c r="N3" s="232"/>
      <c r="O3" s="37"/>
      <c r="P3" s="37"/>
      <c r="Q3" s="37"/>
      <c r="R3" s="37"/>
      <c r="S3" s="37"/>
      <c r="T3" s="37"/>
      <c r="U3" s="37"/>
      <c r="V3" s="37"/>
      <c r="W3" s="37"/>
      <c r="X3" s="37"/>
      <c r="Y3" s="37"/>
      <c r="Z3" s="37"/>
      <c r="AA3" s="37"/>
      <c r="AB3" s="37"/>
      <c r="AC3" s="38"/>
      <c r="AD3" s="38"/>
      <c r="AE3" s="37"/>
      <c r="AF3" s="38"/>
      <c r="AG3" s="37"/>
      <c r="AH3" s="38"/>
      <c r="AI3" s="37"/>
      <c r="AJ3" s="38"/>
    </row>
    <row r="4" spans="1:107" ht="30" customHeight="1" x14ac:dyDescent="0.35">
      <c r="A4" s="223" t="s">
        <v>21</v>
      </c>
      <c r="B4" s="36"/>
      <c r="C4" s="36"/>
      <c r="D4" s="780" t="str">
        <f ca="1">IF(config!D4&lt;&gt;"",config!D4,"UNDEFINED")</f>
        <v xml:space="preserve">ATC01 </v>
      </c>
      <c r="E4" s="780"/>
      <c r="F4" s="780"/>
      <c r="G4" s="780"/>
      <c r="H4" s="780"/>
      <c r="I4" s="780"/>
      <c r="J4" s="780"/>
      <c r="K4" s="780"/>
      <c r="L4" s="780"/>
      <c r="M4" s="780"/>
      <c r="N4" s="232"/>
      <c r="O4" s="37"/>
      <c r="P4" s="37"/>
      <c r="Q4" s="37"/>
      <c r="R4" s="37"/>
      <c r="S4" s="37"/>
      <c r="T4" s="37"/>
      <c r="U4" s="37"/>
      <c r="V4" s="37"/>
      <c r="W4" s="37"/>
      <c r="X4" s="37"/>
      <c r="Y4" s="37"/>
      <c r="Z4" s="37"/>
      <c r="AA4" s="37"/>
      <c r="AB4" s="37"/>
      <c r="AC4" s="38"/>
      <c r="AD4" s="38"/>
      <c r="AE4" s="37"/>
      <c r="AF4" s="38"/>
      <c r="AG4" s="37"/>
      <c r="AH4" s="38"/>
      <c r="AI4" s="37"/>
      <c r="AJ4" s="38"/>
    </row>
    <row r="5" spans="1:107" ht="30" customHeight="1" x14ac:dyDescent="0.35">
      <c r="A5" s="223" t="s">
        <v>22</v>
      </c>
      <c r="B5" s="36"/>
      <c r="C5" s="36"/>
      <c r="D5" s="780" t="str">
        <f>IF(config!D5&lt;&gt;"",UPPER(config!D5),"UNDEFINED")</f>
        <v>PLAINS RD (W), GT TOTHAM</v>
      </c>
      <c r="E5" s="780"/>
      <c r="F5" s="780"/>
      <c r="G5" s="780"/>
      <c r="H5" s="780"/>
      <c r="I5" s="780"/>
      <c r="J5" s="780"/>
      <c r="K5" s="780"/>
      <c r="L5" s="780"/>
      <c r="M5" s="780"/>
      <c r="N5" s="232"/>
      <c r="O5" s="37"/>
      <c r="P5" s="37"/>
      <c r="Q5" s="37"/>
      <c r="R5" s="37"/>
      <c r="S5" s="37"/>
      <c r="T5" s="37"/>
      <c r="U5" s="37"/>
      <c r="V5" s="37"/>
      <c r="W5" s="37"/>
      <c r="X5" s="37"/>
      <c r="Y5" s="37"/>
      <c r="Z5" s="37"/>
      <c r="AA5" s="37"/>
      <c r="AB5" s="37"/>
      <c r="AC5" s="38"/>
      <c r="AD5" s="38"/>
      <c r="AE5" s="37"/>
      <c r="AF5" s="38"/>
      <c r="AG5" s="37"/>
      <c r="AH5" s="38"/>
      <c r="AI5" s="37"/>
      <c r="AJ5" s="38"/>
    </row>
    <row r="6" spans="1:107" ht="30" customHeight="1" x14ac:dyDescent="0.35">
      <c r="A6" s="223" t="s">
        <v>23</v>
      </c>
      <c r="B6" s="36"/>
      <c r="C6" s="36"/>
      <c r="D6" s="779" t="str">
        <f>IF(config!D11&lt;&gt;"",UPPER(config!CI5)&amp;" "&amp;config!CI17,"UNDEFINED")</f>
        <v>EASTBOUND →</v>
      </c>
      <c r="E6" s="779"/>
      <c r="F6" s="779"/>
      <c r="G6" s="779"/>
      <c r="H6" s="779"/>
      <c r="I6" s="779"/>
      <c r="J6" s="779"/>
      <c r="K6" s="779"/>
      <c r="L6" s="779"/>
      <c r="M6" s="779"/>
      <c r="N6" s="232"/>
      <c r="O6" s="37"/>
      <c r="P6" s="37"/>
      <c r="Q6" s="37"/>
      <c r="R6" s="37"/>
      <c r="S6" s="37"/>
      <c r="T6" s="37"/>
      <c r="U6" s="37"/>
      <c r="V6" s="37"/>
      <c r="W6" s="37"/>
      <c r="X6" s="37"/>
      <c r="Y6" s="37"/>
      <c r="Z6" s="37"/>
      <c r="AA6" s="37"/>
      <c r="AB6" s="37"/>
      <c r="AC6" s="38"/>
      <c r="AD6" s="38"/>
      <c r="AE6" s="37"/>
      <c r="AF6" s="38"/>
      <c r="AG6" s="37"/>
      <c r="AH6" s="38"/>
      <c r="AI6" s="37"/>
      <c r="AJ6" s="38"/>
    </row>
    <row r="7" spans="1:107" ht="30" customHeight="1" x14ac:dyDescent="0.35">
      <c r="A7" s="223" t="s">
        <v>166</v>
      </c>
      <c r="B7" s="39"/>
      <c r="C7" s="39"/>
      <c r="D7" s="780" t="str">
        <f>AE13&amp;"mph"</f>
        <v>60mph</v>
      </c>
      <c r="E7" s="780"/>
      <c r="F7" s="780"/>
      <c r="G7" s="780"/>
      <c r="H7" s="780"/>
      <c r="I7" s="780"/>
      <c r="J7" s="780"/>
      <c r="K7" s="780"/>
      <c r="L7" s="780"/>
      <c r="M7" s="780"/>
      <c r="N7" s="231"/>
      <c r="O7" s="33"/>
      <c r="P7" s="33"/>
      <c r="Q7" s="33"/>
      <c r="R7" s="33"/>
      <c r="S7" s="33"/>
      <c r="T7" s="33"/>
      <c r="U7" s="33"/>
      <c r="V7" s="33"/>
      <c r="W7" s="33"/>
      <c r="X7" s="33"/>
      <c r="Y7" s="33"/>
      <c r="Z7" s="33"/>
      <c r="AA7" s="33"/>
      <c r="AB7" s="33"/>
      <c r="AC7" s="34"/>
      <c r="AD7" s="34"/>
      <c r="AE7" s="33"/>
      <c r="AF7" s="34"/>
      <c r="AG7" s="33"/>
      <c r="AH7" s="34"/>
      <c r="AI7" s="33"/>
      <c r="AJ7" s="34"/>
    </row>
    <row r="8" spans="1:107" ht="9.9499999999999993" customHeight="1" x14ac:dyDescent="0.35">
      <c r="A8" s="35"/>
      <c r="B8" s="39"/>
      <c r="C8" s="40"/>
      <c r="D8" s="36"/>
      <c r="E8" s="36"/>
      <c r="F8" s="41"/>
      <c r="G8" s="781"/>
      <c r="H8" s="781"/>
      <c r="I8" s="781"/>
      <c r="J8" s="781"/>
      <c r="K8" s="781"/>
      <c r="L8" s="781"/>
      <c r="M8" s="42"/>
      <c r="N8" s="233"/>
      <c r="O8" s="33"/>
      <c r="P8" s="33"/>
      <c r="Q8" s="33"/>
      <c r="R8" s="33"/>
      <c r="S8" s="33"/>
      <c r="T8" s="33"/>
      <c r="U8" s="33"/>
      <c r="V8" s="33"/>
      <c r="W8" s="33"/>
      <c r="X8" s="33"/>
      <c r="Y8" s="33"/>
      <c r="Z8" s="33"/>
      <c r="AA8" s="33"/>
      <c r="AB8" s="33"/>
      <c r="AC8" s="34"/>
      <c r="AD8" s="34"/>
      <c r="AE8" s="33"/>
      <c r="AF8" s="34"/>
      <c r="AG8" s="183"/>
      <c r="AH8" s="183"/>
      <c r="AI8" s="183"/>
      <c r="AJ8" s="183"/>
      <c r="AS8" s="30"/>
      <c r="AT8" s="30"/>
      <c r="AU8" s="30"/>
      <c r="AV8" s="30"/>
      <c r="AW8" s="30"/>
      <c r="AX8" s="30"/>
      <c r="AY8" s="43"/>
      <c r="AZ8" s="44" t="str">
        <f>IF(OR(WEEKDAY(AZ9)=2,WEEKDAY(AZ9)=6),"NON",IF(OR(WEEKDAY(AZ9)=1,WEEKDAY(AZ9)=7),"WKND","NEUT"))</f>
        <v>NEUT</v>
      </c>
      <c r="BA8" s="44" t="str">
        <f t="shared" ref="BA8:BF8" si="1">IF(OR(WEEKDAY(BA9)=2,WEEKDAY(BA9)=6),"NON",IF(OR(WEEKDAY(BA9)=1,WEEKDAY(BA9)=7),"WKND","NEUT"))</f>
        <v>NEUT</v>
      </c>
      <c r="BB8" s="44" t="str">
        <f t="shared" si="1"/>
        <v>NEUT</v>
      </c>
      <c r="BC8" s="44" t="str">
        <f t="shared" si="1"/>
        <v>NON</v>
      </c>
      <c r="BD8" s="44" t="str">
        <f t="shared" si="1"/>
        <v>WKND</v>
      </c>
      <c r="BE8" s="44" t="str">
        <f t="shared" si="1"/>
        <v>WKND</v>
      </c>
      <c r="BF8" s="44" t="str">
        <f t="shared" si="1"/>
        <v>NON</v>
      </c>
      <c r="BG8" s="45"/>
      <c r="BH8" s="46"/>
      <c r="BI8" s="44"/>
      <c r="BJ8" s="44"/>
      <c r="BK8" s="44"/>
      <c r="BL8" s="44"/>
      <c r="BM8" s="44"/>
      <c r="BN8" s="44"/>
      <c r="BO8" s="44"/>
      <c r="BP8" s="46"/>
      <c r="BQ8" s="45"/>
      <c r="BR8" s="44"/>
      <c r="BS8" s="44"/>
      <c r="BT8" s="44"/>
      <c r="BU8" s="44"/>
      <c r="BV8" s="44"/>
      <c r="BW8" s="44"/>
      <c r="BX8" s="44"/>
      <c r="BY8" s="30"/>
      <c r="BZ8" s="30"/>
      <c r="CC8" s="30"/>
      <c r="CD8" s="44"/>
      <c r="CE8" s="44"/>
      <c r="CF8" s="44"/>
      <c r="CG8" s="44"/>
      <c r="CH8" s="44"/>
      <c r="CI8" s="44"/>
      <c r="CJ8" s="44"/>
    </row>
    <row r="9" spans="1:107" s="47" customFormat="1" ht="128.25" customHeight="1" x14ac:dyDescent="0.25">
      <c r="A9" s="692" t="str">
        <f>config!CI17</f>
        <v>→</v>
      </c>
      <c r="B9" s="563" t="s">
        <v>282</v>
      </c>
      <c r="C9" s="563" t="str">
        <f>config!CG5</f>
        <v>Mcycles</v>
      </c>
      <c r="D9" s="563" t="str">
        <f>config!CG6</f>
        <v>Cars, taxis, 4WD</v>
      </c>
      <c r="E9" s="563" t="str">
        <f>config!CG7</f>
        <v>Cars plus trailer</v>
      </c>
      <c r="F9" s="563" t="str">
        <f>config!CG8</f>
        <v>2-axle truck/bus</v>
      </c>
      <c r="G9" s="563" t="str">
        <f>config!CG9</f>
        <v>3-axle truck/bus</v>
      </c>
      <c r="H9" s="563" t="str">
        <f>config!CG10</f>
        <v>4-axle truck</v>
      </c>
      <c r="I9" s="563" t="str">
        <f>config!CG11</f>
        <v>3-axle articulated</v>
      </c>
      <c r="J9" s="563" t="str">
        <f>config!CG12</f>
        <v>4-axle articulated</v>
      </c>
      <c r="K9" s="563" t="str">
        <f>config!CG13</f>
        <v>5-axle articulated</v>
      </c>
      <c r="L9" s="563" t="str">
        <f>config!CG14</f>
        <v>6+ axle articulated</v>
      </c>
      <c r="M9" s="563"/>
      <c r="N9" s="563"/>
      <c r="O9" s="563" t="str">
        <f t="shared" ref="O9:AB9" si="2">O13&amp;" - "&amp;O14&amp;" mph"</f>
        <v>0 - 10 mph</v>
      </c>
      <c r="P9" s="563" t="str">
        <f t="shared" si="2"/>
        <v>10 - 15 mph</v>
      </c>
      <c r="Q9" s="563" t="str">
        <f t="shared" si="2"/>
        <v>15 - 20 mph</v>
      </c>
      <c r="R9" s="563" t="str">
        <f t="shared" si="2"/>
        <v>20 - 25 mph</v>
      </c>
      <c r="S9" s="563" t="str">
        <f t="shared" si="2"/>
        <v>25 - 30 mph</v>
      </c>
      <c r="T9" s="563" t="str">
        <f t="shared" si="2"/>
        <v>30 - 35 mph</v>
      </c>
      <c r="U9" s="563" t="str">
        <f t="shared" si="2"/>
        <v>35 - 40 mph</v>
      </c>
      <c r="V9" s="563" t="str">
        <f t="shared" si="2"/>
        <v>40 - 45 mph</v>
      </c>
      <c r="W9" s="563" t="str">
        <f t="shared" si="2"/>
        <v>45 - 50 mph</v>
      </c>
      <c r="X9" s="563" t="str">
        <f t="shared" si="2"/>
        <v>50 - 60 mph</v>
      </c>
      <c r="Y9" s="563" t="str">
        <f t="shared" si="2"/>
        <v>60 - 70 mph</v>
      </c>
      <c r="Z9" s="563" t="str">
        <f t="shared" si="2"/>
        <v>70 - 80 mph</v>
      </c>
      <c r="AA9" s="563" t="str">
        <f t="shared" si="2"/>
        <v>80 - 90 mph</v>
      </c>
      <c r="AB9" s="563" t="str">
        <f t="shared" si="2"/>
        <v>90 - 100 mph</v>
      </c>
      <c r="AC9" s="564" t="str">
        <f>AC12&amp;" SPD"</f>
        <v>AVG SPD</v>
      </c>
      <c r="AD9" s="564" t="s">
        <v>13</v>
      </c>
      <c r="AE9" s="563" t="str">
        <f>"&gt; "&amp;AE13&amp;"mph"</f>
        <v>&gt; 60mph</v>
      </c>
      <c r="AF9" s="563" t="str">
        <f>"% &gt; "&amp;AF13&amp;"mph"</f>
        <v>% &gt; 60mph</v>
      </c>
      <c r="AG9" s="224"/>
      <c r="AH9" s="226"/>
      <c r="AI9" s="224"/>
      <c r="AJ9" s="226"/>
      <c r="AP9" s="398"/>
      <c r="AR9" s="48"/>
      <c r="AS9" s="49" t="str">
        <f>SUMMARY!D141</f>
        <v>MOTOR CYCLES</v>
      </c>
      <c r="AT9" s="49" t="str">
        <f>SUMMARY!E141</f>
        <v>CARS / LGV1</v>
      </c>
      <c r="AU9" s="49" t="str">
        <f>SUMMARY!F141</f>
        <v>LGV2 / MGV</v>
      </c>
      <c r="AV9" s="49" t="str">
        <f>SUMMARY!G141</f>
        <v>HGV_x000D_ RIGID</v>
      </c>
      <c r="AW9" s="49" t="str">
        <f>SUMMARY!H141</f>
        <v>HGV ARTIC'D</v>
      </c>
      <c r="AY9" s="50"/>
      <c r="AZ9" s="49">
        <f>config!D6</f>
        <v>43263</v>
      </c>
      <c r="BA9" s="49">
        <f t="shared" ref="BA9:BF9" si="3">AZ9+1</f>
        <v>43264</v>
      </c>
      <c r="BB9" s="49">
        <f t="shared" si="3"/>
        <v>43265</v>
      </c>
      <c r="BC9" s="49">
        <f t="shared" si="3"/>
        <v>43266</v>
      </c>
      <c r="BD9" s="49">
        <f t="shared" si="3"/>
        <v>43267</v>
      </c>
      <c r="BE9" s="49">
        <f t="shared" si="3"/>
        <v>43268</v>
      </c>
      <c r="BF9" s="49">
        <f t="shared" si="3"/>
        <v>43269</v>
      </c>
      <c r="BG9" s="51"/>
      <c r="BH9" s="52"/>
      <c r="BI9" s="49">
        <f t="shared" ref="BI9:BO9" si="4">AZ9</f>
        <v>43263</v>
      </c>
      <c r="BJ9" s="49">
        <f t="shared" si="4"/>
        <v>43264</v>
      </c>
      <c r="BK9" s="49">
        <f t="shared" si="4"/>
        <v>43265</v>
      </c>
      <c r="BL9" s="49">
        <f t="shared" si="4"/>
        <v>43266</v>
      </c>
      <c r="BM9" s="49">
        <f t="shared" si="4"/>
        <v>43267</v>
      </c>
      <c r="BN9" s="49">
        <f t="shared" si="4"/>
        <v>43268</v>
      </c>
      <c r="BO9" s="49">
        <f t="shared" si="4"/>
        <v>43269</v>
      </c>
      <c r="BP9" s="53"/>
      <c r="BQ9" s="52"/>
      <c r="BR9" s="49">
        <f t="shared" ref="BR9:BX9" si="5">BI9</f>
        <v>43263</v>
      </c>
      <c r="BS9" s="49">
        <f t="shared" si="5"/>
        <v>43264</v>
      </c>
      <c r="BT9" s="49">
        <f t="shared" si="5"/>
        <v>43265</v>
      </c>
      <c r="BU9" s="49">
        <f t="shared" si="5"/>
        <v>43266</v>
      </c>
      <c r="BV9" s="49">
        <f t="shared" si="5"/>
        <v>43267</v>
      </c>
      <c r="BW9" s="49">
        <f t="shared" si="5"/>
        <v>43268</v>
      </c>
      <c r="BX9" s="49">
        <f t="shared" si="5"/>
        <v>43269</v>
      </c>
      <c r="CA9" s="224"/>
      <c r="CB9" s="224"/>
      <c r="CD9" s="49">
        <f t="shared" ref="CD9:CJ9" si="6">AZ9</f>
        <v>43263</v>
      </c>
      <c r="CE9" s="49">
        <f t="shared" si="6"/>
        <v>43264</v>
      </c>
      <c r="CF9" s="49">
        <f t="shared" si="6"/>
        <v>43265</v>
      </c>
      <c r="CG9" s="49">
        <f t="shared" si="6"/>
        <v>43266</v>
      </c>
      <c r="CH9" s="49">
        <f t="shared" si="6"/>
        <v>43267</v>
      </c>
      <c r="CI9" s="49">
        <f t="shared" si="6"/>
        <v>43268</v>
      </c>
      <c r="CJ9" s="49">
        <f t="shared" si="6"/>
        <v>43269</v>
      </c>
      <c r="CY9" s="49" t="str">
        <f>AS9</f>
        <v>MOTOR CYCLES</v>
      </c>
      <c r="CZ9" s="49" t="str">
        <f t="shared" ref="CZ9:DC9" si="7">AT9</f>
        <v>CARS / LGV1</v>
      </c>
      <c r="DA9" s="49" t="str">
        <f t="shared" si="7"/>
        <v>LGV2 / MGV</v>
      </c>
      <c r="DB9" s="49" t="str">
        <f t="shared" si="7"/>
        <v>HGV_x000D_ RIGID</v>
      </c>
      <c r="DC9" s="49" t="str">
        <f t="shared" si="7"/>
        <v>HGV ARTIC'D</v>
      </c>
    </row>
    <row r="10" spans="1:107" ht="15.75" customHeight="1" thickBot="1" x14ac:dyDescent="0.3">
      <c r="A10" s="684">
        <f>config!D6</f>
        <v>43263</v>
      </c>
      <c r="B10" s="170"/>
      <c r="C10" s="170"/>
      <c r="D10" s="170"/>
      <c r="E10" s="170"/>
      <c r="F10" s="170"/>
      <c r="G10" s="170"/>
      <c r="H10" s="170"/>
      <c r="I10" s="170"/>
      <c r="J10" s="170"/>
      <c r="K10" s="170"/>
      <c r="L10" s="170"/>
      <c r="M10" s="170"/>
      <c r="N10" s="234"/>
      <c r="O10" s="170"/>
      <c r="P10" s="170"/>
      <c r="Q10" s="170"/>
      <c r="R10" s="170"/>
      <c r="S10" s="170"/>
      <c r="T10" s="170"/>
      <c r="U10" s="170"/>
      <c r="V10" s="170"/>
      <c r="W10" s="170"/>
      <c r="X10" s="170"/>
      <c r="Y10" s="170"/>
      <c r="Z10" s="170"/>
      <c r="AA10" s="170"/>
      <c r="AB10" s="170"/>
      <c r="AC10" s="176"/>
      <c r="AD10" s="176"/>
      <c r="AE10" s="170"/>
      <c r="AF10" s="176"/>
      <c r="AG10" s="170"/>
      <c r="AH10" s="176"/>
      <c r="AI10" s="170"/>
      <c r="AJ10" s="176"/>
      <c r="AP10" s="399" t="s">
        <v>177</v>
      </c>
      <c r="AR10" s="55"/>
      <c r="AS10" s="782" t="s">
        <v>175</v>
      </c>
      <c r="AT10" s="782"/>
      <c r="AU10" s="782"/>
      <c r="AV10" s="782"/>
      <c r="AW10" s="782"/>
      <c r="AX10" s="390"/>
      <c r="AY10" s="391"/>
      <c r="AZ10" s="778" t="s">
        <v>167</v>
      </c>
      <c r="BA10" s="778"/>
      <c r="BB10" s="778"/>
      <c r="BC10" s="778"/>
      <c r="BD10" s="778"/>
      <c r="BE10" s="778"/>
      <c r="BF10" s="778"/>
      <c r="BG10" s="392"/>
      <c r="BH10" s="393"/>
      <c r="BI10" s="778" t="s">
        <v>168</v>
      </c>
      <c r="BJ10" s="778"/>
      <c r="BK10" s="778"/>
      <c r="BL10" s="778"/>
      <c r="BM10" s="778"/>
      <c r="BN10" s="778"/>
      <c r="BO10" s="778"/>
      <c r="BP10" s="394"/>
      <c r="BQ10" s="393"/>
      <c r="BR10" s="778" t="s">
        <v>13</v>
      </c>
      <c r="BS10" s="778"/>
      <c r="BT10" s="778"/>
      <c r="BU10" s="778"/>
      <c r="BV10" s="778"/>
      <c r="BW10" s="778"/>
      <c r="BX10" s="778"/>
      <c r="BY10" s="390"/>
      <c r="BZ10" s="395" t="s">
        <v>12</v>
      </c>
      <c r="CA10" s="446">
        <v>0.85</v>
      </c>
      <c r="CB10" s="395" t="s">
        <v>166</v>
      </c>
      <c r="CC10" s="390"/>
      <c r="CD10" s="778" t="s">
        <v>178</v>
      </c>
      <c r="CE10" s="778"/>
      <c r="CF10" s="778"/>
      <c r="CG10" s="778"/>
      <c r="CH10" s="778"/>
      <c r="CI10" s="778"/>
      <c r="CJ10" s="778"/>
      <c r="CK10" s="390"/>
      <c r="CL10" s="390"/>
      <c r="CM10" s="778" t="s">
        <v>235</v>
      </c>
      <c r="CN10" s="778"/>
      <c r="CO10" s="778"/>
      <c r="CP10" s="778"/>
      <c r="CQ10" s="778"/>
      <c r="CR10" s="778"/>
      <c r="CS10" s="778"/>
      <c r="CT10" s="390"/>
      <c r="CU10" s="390"/>
      <c r="CY10" s="776" t="s">
        <v>422</v>
      </c>
      <c r="CZ10" s="776"/>
      <c r="DA10" s="776"/>
      <c r="DB10" s="776"/>
      <c r="DC10" s="776"/>
    </row>
    <row r="11" spans="1:107" ht="15" x14ac:dyDescent="0.25">
      <c r="A11" s="682"/>
      <c r="B11" s="170"/>
      <c r="C11" s="170"/>
      <c r="D11" s="170"/>
      <c r="E11" s="170"/>
      <c r="F11" s="170"/>
      <c r="G11" s="170"/>
      <c r="H11" s="170"/>
      <c r="I11" s="170"/>
      <c r="J11" s="170"/>
      <c r="K11" s="170"/>
      <c r="L11" s="170"/>
      <c r="M11" s="170"/>
      <c r="N11" s="234"/>
      <c r="O11" s="170"/>
      <c r="P11" s="170"/>
      <c r="Q11" s="170"/>
      <c r="R11" s="170"/>
      <c r="S11" s="170"/>
      <c r="T11" s="170"/>
      <c r="U11" s="170"/>
      <c r="V11" s="170"/>
      <c r="W11" s="170"/>
      <c r="X11" s="170"/>
      <c r="Y11" s="170"/>
      <c r="Z11" s="170"/>
      <c r="AA11" s="170"/>
      <c r="AB11" s="170"/>
      <c r="AC11" s="176"/>
      <c r="AD11" s="176"/>
      <c r="AE11" s="170"/>
      <c r="AF11" s="176"/>
      <c r="AG11" s="170"/>
      <c r="AH11" s="176"/>
      <c r="AI11" s="170"/>
      <c r="AJ11" s="176"/>
      <c r="AP11" s="400">
        <f>SUM(F15,F122,F229,F336,F443,F550,F657)</f>
        <v>0</v>
      </c>
      <c r="AR11" s="56">
        <v>0</v>
      </c>
      <c r="AS11" s="57">
        <f>SUM(C15,C122,C229,C336,C443,C550,C657)/config!$AC$13</f>
        <v>0</v>
      </c>
      <c r="AT11" s="58">
        <f>SUM(D15:E15,D122:E122,D229:E229,D336:E336,D443:E443,D550:E550,D657:E657)/config!$AC$13</f>
        <v>0.8571428571428571</v>
      </c>
      <c r="AU11" s="58">
        <f>SUM(F15:G15,F122:G122,F229:G229,F336:G336,F443:G443,F550:G550,F657:G657)/config!$AC$13</f>
        <v>0</v>
      </c>
      <c r="AV11" s="58">
        <f>SUM(H15,H122,H229,H336,H443,H550,H657)/config!$AC$13</f>
        <v>0</v>
      </c>
      <c r="AW11" s="59">
        <f>SUM(I15:L15,I122:L122,I229:L229,I336:L336,I443:L443,I550:L550,I657:L657)/config!$AC$13</f>
        <v>0</v>
      </c>
      <c r="AY11" s="56">
        <v>0</v>
      </c>
      <c r="AZ11" s="60">
        <f t="shared" ref="AZ11:AZ42" si="8">B15</f>
        <v>0</v>
      </c>
      <c r="BA11" s="61">
        <f t="shared" ref="BA11:BA42" si="9">B122</f>
        <v>1</v>
      </c>
      <c r="BB11" s="61">
        <f t="shared" ref="BB11:BB42" si="10">B229</f>
        <v>1</v>
      </c>
      <c r="BC11" s="61">
        <f t="shared" ref="BC11:BC42" si="11">B336</f>
        <v>1</v>
      </c>
      <c r="BD11" s="61">
        <f t="shared" ref="BD11:BD42" si="12">B443</f>
        <v>1</v>
      </c>
      <c r="BE11" s="61">
        <f t="shared" ref="BE11:BE42" si="13">B550</f>
        <v>2</v>
      </c>
      <c r="BF11" s="62">
        <f t="shared" ref="BF11:BF42" si="14">B657</f>
        <v>0</v>
      </c>
      <c r="BG11" s="45"/>
      <c r="BH11" s="56">
        <f t="shared" ref="BH11:BH42" si="15">AY11</f>
        <v>0</v>
      </c>
      <c r="BI11" s="57" t="str">
        <f t="shared" ref="BI11:BI42" si="16">AC15</f>
        <v/>
      </c>
      <c r="BJ11" s="58">
        <f t="shared" ref="BJ11:BJ42" si="17">AC122</f>
        <v>41.4</v>
      </c>
      <c r="BK11" s="58">
        <f t="shared" ref="BK11:BK42" si="18">AC229</f>
        <v>36.200000000000003</v>
      </c>
      <c r="BL11" s="58">
        <f t="shared" ref="BL11:BL42" si="19">AC336</f>
        <v>40.5</v>
      </c>
      <c r="BM11" s="58">
        <f t="shared" ref="BM11:BM42" si="20">AC443</f>
        <v>40</v>
      </c>
      <c r="BN11" s="58">
        <f t="shared" ref="BN11:BN42" si="21">AC550</f>
        <v>49.2</v>
      </c>
      <c r="BO11" s="59" t="str">
        <f t="shared" ref="BO11:BO42" si="22">AC657</f>
        <v/>
      </c>
      <c r="BP11" s="63"/>
      <c r="BQ11" s="64">
        <f t="shared" ref="BQ11:BQ42" si="23">BH11</f>
        <v>0</v>
      </c>
      <c r="BR11" s="57" t="str">
        <f t="shared" ref="BR11:BR42" si="24">AD15</f>
        <v/>
      </c>
      <c r="BS11" s="58" t="str">
        <f t="shared" ref="BS11:BS42" si="25">AD122</f>
        <v/>
      </c>
      <c r="BT11" s="58" t="str">
        <f t="shared" ref="BT11:BT42" si="26">AD229</f>
        <v/>
      </c>
      <c r="BU11" s="58" t="str">
        <f t="shared" ref="BU11:BU42" si="27">AD336</f>
        <v/>
      </c>
      <c r="BV11" s="58" t="str">
        <f t="shared" ref="BV11:BV42" si="28">AD443</f>
        <v/>
      </c>
      <c r="BW11" s="58" t="str">
        <f t="shared" ref="BW11:BW42" si="29">AD550</f>
        <v/>
      </c>
      <c r="BX11" s="59" t="str">
        <f t="shared" ref="BX11:BX42" si="30">AD657</f>
        <v/>
      </c>
      <c r="BY11" s="65"/>
      <c r="BZ11" s="66">
        <f>IF(SUM(BI11:BO11)&gt;0,SUM(BI11:BO11) / COUNTIF(BI11:BO11, "&gt;0"),NA())</f>
        <v>41.46</v>
      </c>
      <c r="CA11" s="414" t="e">
        <f t="shared" ref="CA11:CA74" si="31">IFERROR(SUM(BR11:BX11) / COUNTIF(BR11:BX11, "&gt;0"), NA())</f>
        <v>#N/A</v>
      </c>
      <c r="CB11" s="416">
        <f>--config!$D$8</f>
        <v>60</v>
      </c>
      <c r="CC11" s="65"/>
      <c r="CD11" s="57">
        <f t="shared" ref="CD11:CD42" si="32">AE15</f>
        <v>0</v>
      </c>
      <c r="CE11" s="58">
        <f t="shared" ref="CE11:CE42" si="33">AE122</f>
        <v>0</v>
      </c>
      <c r="CF11" s="58">
        <f t="shared" ref="CF11:CF42" si="34">AE229</f>
        <v>0</v>
      </c>
      <c r="CG11" s="58">
        <f t="shared" ref="CG11:CG42" si="35">AE336</f>
        <v>0</v>
      </c>
      <c r="CH11" s="58">
        <f t="shared" ref="CH11:CH42" si="36">AE443</f>
        <v>0</v>
      </c>
      <c r="CI11" s="58">
        <f t="shared" ref="CI11:CI42" si="37">AE550</f>
        <v>0</v>
      </c>
      <c r="CJ11" s="59">
        <f t="shared" ref="CJ11:CJ42" si="38">AE657</f>
        <v>0</v>
      </c>
      <c r="CM11" s="57" t="str">
        <f>IFERROR(AZ11*BI11,"")</f>
        <v/>
      </c>
      <c r="CN11" s="58">
        <f t="shared" ref="CN11:CS26" si="39">IFERROR(BA11*BJ11,"")</f>
        <v>41.4</v>
      </c>
      <c r="CO11" s="58">
        <f t="shared" si="39"/>
        <v>36.200000000000003</v>
      </c>
      <c r="CP11" s="58">
        <f t="shared" si="39"/>
        <v>40.5</v>
      </c>
      <c r="CQ11" s="58">
        <f t="shared" si="39"/>
        <v>40</v>
      </c>
      <c r="CR11" s="58">
        <f t="shared" si="39"/>
        <v>98.4</v>
      </c>
      <c r="CS11" s="59" t="str">
        <f t="shared" si="39"/>
        <v/>
      </c>
      <c r="CU11" s="509">
        <f>SUM(SUMIF($AZ$8:$BF$8, {"NON";"NEUT"}, AZ11:BF11))/config!$AC$16</f>
        <v>0.6</v>
      </c>
      <c r="CV11" s="510">
        <f>AY11</f>
        <v>0</v>
      </c>
      <c r="CY11" s="57">
        <f>SUM(C15*$CY$108, C122*$CY$109, C229*$CY$110, C336*$CY$111, C443*$CY$112, C550*$CY$113, C657*$CY$114)/config!$AC$16</f>
        <v>0</v>
      </c>
      <c r="CZ11" s="58">
        <f>SUM(SUM(D15:E15)*$CY$108, SUM(D122:E122)*$CY$109, SUM(D229:E229)*$CY$110, SUM(D336:E336)*$CY$111, SUM(D443:E443)*$CY$112, SUM(D550:E550)*$CY$113, SUM(D657:E657)*$CY$114)/config!$AC$16</f>
        <v>0.6</v>
      </c>
      <c r="DA11" s="58">
        <f>SUM(SUM(F15:G15)*$CY$108, SUM(F122:G122)*$CY$109, SUM(F229:G229)*$CY$110, SUM(F336:G336)*$CY$111, SUM(F443:G443)*$CY$112, SUM(F550:G550)*$CY$113, SUM(F657:G657)*$CY$114)/config!$AC$16</f>
        <v>0</v>
      </c>
      <c r="DB11" s="58">
        <f>SUM(H15*$CY$108, H122*$CY$109, H229*$CY$110, H336*$CY$111, H443*$CY$112, H550*$CY$113, H657*$CY$114)/config!$AC$16</f>
        <v>0</v>
      </c>
      <c r="DC11" s="59">
        <f>SUM(SUM(I15:L15)*$CY$108, SUM(I122:L122)*$CY$109, SUM(I229:L229)*$CY$110, SUM(I336:L336)*$CY$111, SUM(I443:L443)*$CY$112, SUM(I550:L550)*$CY$113, SUM(I657:L657)*$CY$114)/config!$AC$16</f>
        <v>0</v>
      </c>
    </row>
    <row r="12" spans="1:107" ht="15" x14ac:dyDescent="0.25">
      <c r="A12" s="565" t="s">
        <v>250</v>
      </c>
      <c r="B12" s="568" t="s">
        <v>0</v>
      </c>
      <c r="C12" s="569" t="s">
        <v>257</v>
      </c>
      <c r="D12" s="569" t="s">
        <v>257</v>
      </c>
      <c r="E12" s="569" t="s">
        <v>257</v>
      </c>
      <c r="F12" s="569" t="s">
        <v>257</v>
      </c>
      <c r="G12" s="569" t="s">
        <v>257</v>
      </c>
      <c r="H12" s="569" t="s">
        <v>257</v>
      </c>
      <c r="I12" s="569" t="s">
        <v>257</v>
      </c>
      <c r="J12" s="569" t="s">
        <v>257</v>
      </c>
      <c r="K12" s="569" t="s">
        <v>257</v>
      </c>
      <c r="L12" s="569" t="s">
        <v>257</v>
      </c>
      <c r="M12" s="570"/>
      <c r="N12" s="584" t="s">
        <v>11</v>
      </c>
      <c r="O12" s="568" t="s">
        <v>268</v>
      </c>
      <c r="P12" s="569" t="s">
        <v>269</v>
      </c>
      <c r="Q12" s="569" t="s">
        <v>270</v>
      </c>
      <c r="R12" s="569" t="s">
        <v>271</v>
      </c>
      <c r="S12" s="569" t="s">
        <v>272</v>
      </c>
      <c r="T12" s="569" t="s">
        <v>273</v>
      </c>
      <c r="U12" s="569" t="s">
        <v>274</v>
      </c>
      <c r="V12" s="569" t="s">
        <v>275</v>
      </c>
      <c r="W12" s="569" t="s">
        <v>276</v>
      </c>
      <c r="X12" s="569" t="s">
        <v>277</v>
      </c>
      <c r="Y12" s="569" t="s">
        <v>278</v>
      </c>
      <c r="Z12" s="569" t="s">
        <v>279</v>
      </c>
      <c r="AA12" s="569" t="s">
        <v>280</v>
      </c>
      <c r="AB12" s="569" t="s">
        <v>281</v>
      </c>
      <c r="AC12" s="620" t="s">
        <v>258</v>
      </c>
      <c r="AD12" s="620" t="s">
        <v>13</v>
      </c>
      <c r="AE12" s="569" t="s">
        <v>166</v>
      </c>
      <c r="AF12" s="620" t="s">
        <v>259</v>
      </c>
      <c r="AG12" s="621" t="s">
        <v>260</v>
      </c>
      <c r="AH12" s="622" t="s">
        <v>261</v>
      </c>
      <c r="AI12" s="621" t="s">
        <v>262</v>
      </c>
      <c r="AJ12" s="623" t="s">
        <v>263</v>
      </c>
      <c r="AP12" s="401">
        <f t="shared" ref="AP12:AP75" si="40">SUM(F16,F123,F230,F337,F444,F551,F658)</f>
        <v>0</v>
      </c>
      <c r="AR12" s="56">
        <f t="shared" ref="AR12:AR75" si="41">AR11+TIME(0,15,0)</f>
        <v>1.0416666666666666E-2</v>
      </c>
      <c r="AS12" s="67">
        <f>SUM(C16,C123,C230,C337,C444,C551,C658)/config!$AC$13</f>
        <v>0</v>
      </c>
      <c r="AT12" s="68">
        <f>SUM(D16:E16,D123:E123,D230:E230,D337:E337,D444:E444,D551:E551,D658:E658)/config!$AC$13</f>
        <v>0.42857142857142855</v>
      </c>
      <c r="AU12" s="68">
        <f>SUM(F16:G16,F123:G123,F230:G230,F337:G337,F444:G444,F551:G551,F658:G658)/config!$AC$13</f>
        <v>0</v>
      </c>
      <c r="AV12" s="68">
        <f>SUM(H16,H123,H230,H337,H444,H551,H658)/config!$AC$13</f>
        <v>0</v>
      </c>
      <c r="AW12" s="69">
        <f>SUM(I16:L16,I123:L123,I230:L230,I337:L337,I444:L444,I551:L551,I658:L658)/config!$AC$13</f>
        <v>0</v>
      </c>
      <c r="AY12" s="56">
        <f t="shared" ref="AY12:AY75" si="42">AY11+TIME(0,15,0)</f>
        <v>1.0416666666666666E-2</v>
      </c>
      <c r="AZ12" s="70">
        <f t="shared" si="8"/>
        <v>0</v>
      </c>
      <c r="BA12" s="71">
        <f t="shared" si="9"/>
        <v>0</v>
      </c>
      <c r="BB12" s="71">
        <f t="shared" si="10"/>
        <v>0</v>
      </c>
      <c r="BC12" s="71">
        <f t="shared" si="11"/>
        <v>0</v>
      </c>
      <c r="BD12" s="71">
        <f t="shared" si="12"/>
        <v>3</v>
      </c>
      <c r="BE12" s="71">
        <f t="shared" si="13"/>
        <v>0</v>
      </c>
      <c r="BF12" s="72">
        <f t="shared" si="14"/>
        <v>0</v>
      </c>
      <c r="BG12" s="45"/>
      <c r="BH12" s="56">
        <f t="shared" si="15"/>
        <v>1.0416666666666666E-2</v>
      </c>
      <c r="BI12" s="67" t="str">
        <f t="shared" si="16"/>
        <v/>
      </c>
      <c r="BJ12" s="68" t="str">
        <f t="shared" si="17"/>
        <v/>
      </c>
      <c r="BK12" s="68" t="str">
        <f t="shared" si="18"/>
        <v/>
      </c>
      <c r="BL12" s="68" t="str">
        <f t="shared" si="19"/>
        <v/>
      </c>
      <c r="BM12" s="68">
        <f t="shared" si="20"/>
        <v>39.5</v>
      </c>
      <c r="BN12" s="68" t="str">
        <f t="shared" si="21"/>
        <v/>
      </c>
      <c r="BO12" s="69" t="str">
        <f t="shared" si="22"/>
        <v/>
      </c>
      <c r="BP12" s="63"/>
      <c r="BQ12" s="64">
        <f t="shared" si="23"/>
        <v>1.0416666666666666E-2</v>
      </c>
      <c r="BR12" s="67" t="str">
        <f t="shared" si="24"/>
        <v/>
      </c>
      <c r="BS12" s="68" t="str">
        <f t="shared" si="25"/>
        <v/>
      </c>
      <c r="BT12" s="68" t="str">
        <f t="shared" si="26"/>
        <v/>
      </c>
      <c r="BU12" s="68" t="str">
        <f t="shared" si="27"/>
        <v/>
      </c>
      <c r="BV12" s="68" t="str">
        <f t="shared" si="28"/>
        <v/>
      </c>
      <c r="BW12" s="68" t="str">
        <f t="shared" si="29"/>
        <v/>
      </c>
      <c r="BX12" s="69" t="str">
        <f t="shared" si="30"/>
        <v/>
      </c>
      <c r="BY12" s="65"/>
      <c r="BZ12" s="66">
        <f t="shared" ref="BZ12:BZ75" si="43">IF(SUM(BI12:BO12)&gt;0,SUM(BI12:BO12) / COUNTIF(BI12:BO12, "&gt;0"),NA())</f>
        <v>39.5</v>
      </c>
      <c r="CA12" s="414" t="e">
        <f t="shared" si="31"/>
        <v>#N/A</v>
      </c>
      <c r="CB12" s="416">
        <f>CB11</f>
        <v>60</v>
      </c>
      <c r="CC12" s="65"/>
      <c r="CD12" s="67">
        <f t="shared" si="32"/>
        <v>0</v>
      </c>
      <c r="CE12" s="68">
        <f t="shared" si="33"/>
        <v>0</v>
      </c>
      <c r="CF12" s="68">
        <f t="shared" si="34"/>
        <v>0</v>
      </c>
      <c r="CG12" s="68">
        <f t="shared" si="35"/>
        <v>0</v>
      </c>
      <c r="CH12" s="68">
        <f t="shared" si="36"/>
        <v>0</v>
      </c>
      <c r="CI12" s="68">
        <f t="shared" si="37"/>
        <v>0</v>
      </c>
      <c r="CJ12" s="69">
        <f t="shared" si="38"/>
        <v>0</v>
      </c>
      <c r="CM12" s="67" t="str">
        <f t="shared" ref="CM12:CM75" si="44">IFERROR(AZ12*BI12,"")</f>
        <v/>
      </c>
      <c r="CN12" s="68" t="str">
        <f t="shared" si="39"/>
        <v/>
      </c>
      <c r="CO12" s="68" t="str">
        <f t="shared" si="39"/>
        <v/>
      </c>
      <c r="CP12" s="68" t="str">
        <f t="shared" si="39"/>
        <v/>
      </c>
      <c r="CQ12" s="68">
        <f t="shared" si="39"/>
        <v>118.5</v>
      </c>
      <c r="CR12" s="68" t="str">
        <f t="shared" si="39"/>
        <v/>
      </c>
      <c r="CS12" s="69" t="str">
        <f t="shared" si="39"/>
        <v/>
      </c>
      <c r="CU12" s="511">
        <f>SUM(SUMIF($AZ$8:$BF$8, {"NON";"NEUT"}, AZ12:BF12))/config!$AC$16</f>
        <v>0</v>
      </c>
      <c r="CV12" s="512">
        <f t="shared" ref="CV12:CV75" si="45">AY12</f>
        <v>1.0416666666666666E-2</v>
      </c>
      <c r="CY12" s="67">
        <f>SUM(C16*$CY$108, C123*$CY$109, C230*$CY$110, C337*$CY$111, C444*$CY$112, C551*$CY$113, C658*$CY$114)/config!$AC$16</f>
        <v>0</v>
      </c>
      <c r="CZ12" s="68">
        <f>SUM(SUM(D16:E16)*$CY$108, SUM(D123:E123)*$CY$109, SUM(D230:E230)*$CY$110, SUM(D337:E337)*$CY$111, SUM(D444:E444)*$CY$112, SUM(D551:E551)*$CY$113, SUM(D658:E658)*$CY$114)/config!$AC$16</f>
        <v>0</v>
      </c>
      <c r="DA12" s="68">
        <f>SUM(SUM(F16:G16)*$CY$108, SUM(F123:G123)*$CY$109, SUM(F230:G230)*$CY$110, SUM(F337:G337)*$CY$111, SUM(F444:G444)*$CY$112, SUM(F551:G551)*$CY$113, SUM(F658:G658)*$CY$114)/config!$AC$16</f>
        <v>0</v>
      </c>
      <c r="DB12" s="68">
        <f>SUM(H16*$CY$108, H123*$CY$109, H230*$CY$110, H337*$CY$111, H444*$CY$112, H551*$CY$113, H658*$CY$114)/config!$AC$16</f>
        <v>0</v>
      </c>
      <c r="DC12" s="69">
        <f>SUM(SUM(I16:L16)*$CY$108, SUM(I123:L123)*$CY$109, SUM(I230:L230)*$CY$110, SUM(I337:L337)*$CY$111, SUM(I444:L444)*$CY$112, SUM(I551:L551)*$CY$113, SUM(I658:L658)*$CY$114)/config!$AC$16</f>
        <v>0</v>
      </c>
    </row>
    <row r="13" spans="1:107" ht="15" x14ac:dyDescent="0.25">
      <c r="A13" s="190" t="s">
        <v>24</v>
      </c>
      <c r="B13" s="571" t="s">
        <v>24</v>
      </c>
      <c r="C13" s="179" t="s">
        <v>25</v>
      </c>
      <c r="D13" s="179" t="s">
        <v>26</v>
      </c>
      <c r="E13" s="179" t="s">
        <v>27</v>
      </c>
      <c r="F13" s="179" t="s">
        <v>28</v>
      </c>
      <c r="G13" s="179" t="s">
        <v>29</v>
      </c>
      <c r="H13" s="179" t="s">
        <v>30</v>
      </c>
      <c r="I13" s="179" t="s">
        <v>31</v>
      </c>
      <c r="J13" s="179" t="s">
        <v>32</v>
      </c>
      <c r="K13" s="179" t="s">
        <v>33</v>
      </c>
      <c r="L13" s="179" t="s">
        <v>34</v>
      </c>
      <c r="M13" s="572" t="s">
        <v>24</v>
      </c>
      <c r="N13" s="585" t="s">
        <v>24</v>
      </c>
      <c r="O13" s="571" t="str">
        <f>O120</f>
        <v>0</v>
      </c>
      <c r="P13" s="179" t="str">
        <f t="shared" ref="P13:AB14" si="46">P120</f>
        <v>10</v>
      </c>
      <c r="Q13" s="179" t="str">
        <f t="shared" si="46"/>
        <v>15</v>
      </c>
      <c r="R13" s="179" t="str">
        <f t="shared" si="46"/>
        <v>20</v>
      </c>
      <c r="S13" s="179" t="str">
        <f t="shared" si="46"/>
        <v>25</v>
      </c>
      <c r="T13" s="179" t="str">
        <f t="shared" si="46"/>
        <v>30</v>
      </c>
      <c r="U13" s="179" t="str">
        <f t="shared" si="46"/>
        <v>35</v>
      </c>
      <c r="V13" s="179" t="str">
        <f t="shared" si="46"/>
        <v>40</v>
      </c>
      <c r="W13" s="179" t="str">
        <f t="shared" si="46"/>
        <v>45</v>
      </c>
      <c r="X13" s="179" t="str">
        <f t="shared" si="46"/>
        <v>50</v>
      </c>
      <c r="Y13" s="179" t="str">
        <f t="shared" si="46"/>
        <v>60</v>
      </c>
      <c r="Z13" s="179" t="str">
        <f t="shared" si="46"/>
        <v>70</v>
      </c>
      <c r="AA13" s="179" t="str">
        <f t="shared" si="46"/>
        <v>80</v>
      </c>
      <c r="AB13" s="179" t="str">
        <f t="shared" si="46"/>
        <v>90</v>
      </c>
      <c r="AC13" s="180" t="s">
        <v>24</v>
      </c>
      <c r="AD13" s="180"/>
      <c r="AE13" s="179">
        <f t="shared" ref="AE13:AJ13" si="47">AE120</f>
        <v>60</v>
      </c>
      <c r="AF13" s="179">
        <f t="shared" si="47"/>
        <v>60</v>
      </c>
      <c r="AG13" s="225">
        <f t="shared" si="47"/>
        <v>65</v>
      </c>
      <c r="AH13" s="225">
        <f t="shared" si="47"/>
        <v>65</v>
      </c>
      <c r="AI13" s="225">
        <f t="shared" si="47"/>
        <v>75</v>
      </c>
      <c r="AJ13" s="624">
        <f t="shared" si="47"/>
        <v>75</v>
      </c>
      <c r="AP13" s="401">
        <f t="shared" si="40"/>
        <v>0</v>
      </c>
      <c r="AR13" s="56">
        <f t="shared" si="41"/>
        <v>2.0833333333333332E-2</v>
      </c>
      <c r="AS13" s="67">
        <f>SUM(C17,C124,C231,C338,C445,C552,C659)/config!$AC$13</f>
        <v>0</v>
      </c>
      <c r="AT13" s="68">
        <f>SUM(D17:E17,D124:E124,D231:E231,D338:E338,D445:E445,D552:E552,D659:E659)/config!$AC$13</f>
        <v>0.5714285714285714</v>
      </c>
      <c r="AU13" s="68">
        <f>SUM(F17:G17,F124:G124,F231:G231,F338:G338,F445:G445,F552:G552,F659:G659)/config!$AC$13</f>
        <v>0</v>
      </c>
      <c r="AV13" s="68">
        <f>SUM(H17,H124,H231,H338,H445,H552,H659)/config!$AC$13</f>
        <v>0</v>
      </c>
      <c r="AW13" s="69">
        <f>SUM(I17:L17,I124:L124,I231:L231,I338:L338,I445:L445,I552:L552,I659:L659)/config!$AC$13</f>
        <v>0</v>
      </c>
      <c r="AY13" s="56">
        <f t="shared" si="42"/>
        <v>2.0833333333333332E-2</v>
      </c>
      <c r="AZ13" s="70">
        <f t="shared" si="8"/>
        <v>1</v>
      </c>
      <c r="BA13" s="71">
        <f t="shared" si="9"/>
        <v>2</v>
      </c>
      <c r="BB13" s="71">
        <f t="shared" si="10"/>
        <v>0</v>
      </c>
      <c r="BC13" s="71">
        <f t="shared" si="11"/>
        <v>1</v>
      </c>
      <c r="BD13" s="71">
        <f t="shared" si="12"/>
        <v>0</v>
      </c>
      <c r="BE13" s="71">
        <f t="shared" si="13"/>
        <v>0</v>
      </c>
      <c r="BF13" s="72">
        <f t="shared" si="14"/>
        <v>0</v>
      </c>
      <c r="BG13" s="45"/>
      <c r="BH13" s="56">
        <f t="shared" si="15"/>
        <v>2.0833333333333332E-2</v>
      </c>
      <c r="BI13" s="67">
        <f t="shared" si="16"/>
        <v>46.4</v>
      </c>
      <c r="BJ13" s="68">
        <f t="shared" si="17"/>
        <v>41.8</v>
      </c>
      <c r="BK13" s="68" t="str">
        <f t="shared" si="18"/>
        <v/>
      </c>
      <c r="BL13" s="68">
        <f t="shared" si="19"/>
        <v>50.7</v>
      </c>
      <c r="BM13" s="68" t="str">
        <f t="shared" si="20"/>
        <v/>
      </c>
      <c r="BN13" s="68" t="str">
        <f t="shared" si="21"/>
        <v/>
      </c>
      <c r="BO13" s="69" t="str">
        <f t="shared" si="22"/>
        <v/>
      </c>
      <c r="BP13" s="63"/>
      <c r="BQ13" s="64">
        <f t="shared" si="23"/>
        <v>2.0833333333333332E-2</v>
      </c>
      <c r="BR13" s="67" t="str">
        <f t="shared" si="24"/>
        <v/>
      </c>
      <c r="BS13" s="68" t="str">
        <f t="shared" si="25"/>
        <v/>
      </c>
      <c r="BT13" s="68" t="str">
        <f t="shared" si="26"/>
        <v/>
      </c>
      <c r="BU13" s="68" t="str">
        <f t="shared" si="27"/>
        <v/>
      </c>
      <c r="BV13" s="68" t="str">
        <f t="shared" si="28"/>
        <v/>
      </c>
      <c r="BW13" s="68" t="str">
        <f t="shared" si="29"/>
        <v/>
      </c>
      <c r="BX13" s="69" t="str">
        <f t="shared" si="30"/>
        <v/>
      </c>
      <c r="BY13" s="65"/>
      <c r="BZ13" s="66">
        <f t="shared" si="43"/>
        <v>46.29999999999999</v>
      </c>
      <c r="CA13" s="414" t="e">
        <f t="shared" si="31"/>
        <v>#N/A</v>
      </c>
      <c r="CB13" s="416">
        <f t="shared" ref="CB13:CB76" si="48">CB12</f>
        <v>60</v>
      </c>
      <c r="CC13" s="65"/>
      <c r="CD13" s="67">
        <f t="shared" si="32"/>
        <v>0</v>
      </c>
      <c r="CE13" s="68">
        <f t="shared" si="33"/>
        <v>0</v>
      </c>
      <c r="CF13" s="68">
        <f t="shared" si="34"/>
        <v>0</v>
      </c>
      <c r="CG13" s="68">
        <f t="shared" si="35"/>
        <v>0</v>
      </c>
      <c r="CH13" s="68">
        <f t="shared" si="36"/>
        <v>0</v>
      </c>
      <c r="CI13" s="68">
        <f t="shared" si="37"/>
        <v>0</v>
      </c>
      <c r="CJ13" s="69">
        <f t="shared" si="38"/>
        <v>0</v>
      </c>
      <c r="CM13" s="67">
        <f t="shared" si="44"/>
        <v>46.4</v>
      </c>
      <c r="CN13" s="68">
        <f t="shared" si="39"/>
        <v>83.6</v>
      </c>
      <c r="CO13" s="68" t="str">
        <f t="shared" si="39"/>
        <v/>
      </c>
      <c r="CP13" s="68">
        <f t="shared" si="39"/>
        <v>50.7</v>
      </c>
      <c r="CQ13" s="68" t="str">
        <f t="shared" si="39"/>
        <v/>
      </c>
      <c r="CR13" s="68" t="str">
        <f t="shared" si="39"/>
        <v/>
      </c>
      <c r="CS13" s="69" t="str">
        <f t="shared" si="39"/>
        <v/>
      </c>
      <c r="CU13" s="511">
        <f>SUM(SUMIF($AZ$8:$BF$8, {"NON";"NEUT"}, AZ13:BF13))/config!$AC$16</f>
        <v>0.8</v>
      </c>
      <c r="CV13" s="512">
        <f t="shared" si="45"/>
        <v>2.0833333333333332E-2</v>
      </c>
      <c r="CY13" s="67">
        <f>SUM(C17*$CY$108, C124*$CY$109, C231*$CY$110, C338*$CY$111, C445*$CY$112, C552*$CY$113, C659*$CY$114)/config!$AC$16</f>
        <v>0</v>
      </c>
      <c r="CZ13" s="68">
        <f>SUM(SUM(D17:E17)*$CY$108, SUM(D124:E124)*$CY$109, SUM(D231:E231)*$CY$110, SUM(D338:E338)*$CY$111, SUM(D445:E445)*$CY$112, SUM(D552:E552)*$CY$113, SUM(D659:E659)*$CY$114)/config!$AC$16</f>
        <v>0.8</v>
      </c>
      <c r="DA13" s="68">
        <f>SUM(SUM(F17:G17)*$CY$108, SUM(F124:G124)*$CY$109, SUM(F231:G231)*$CY$110, SUM(F338:G338)*$CY$111, SUM(F445:G445)*$CY$112, SUM(F552:G552)*$CY$113, SUM(F659:G659)*$CY$114)/config!$AC$16</f>
        <v>0</v>
      </c>
      <c r="DB13" s="68">
        <f>SUM(H17*$CY$108, H124*$CY$109, H231*$CY$110, H338*$CY$111, H445*$CY$112, H552*$CY$113, H659*$CY$114)/config!$AC$16</f>
        <v>0</v>
      </c>
      <c r="DC13" s="69">
        <f>SUM(SUM(I17:L17)*$CY$108, SUM(I124:L124)*$CY$109, SUM(I231:L231)*$CY$110, SUM(I338:L338)*$CY$111, SUM(I445:L445)*$CY$112, SUM(I552:L552)*$CY$113, SUM(I659:L659)*$CY$114)/config!$AC$16</f>
        <v>0</v>
      </c>
    </row>
    <row r="14" spans="1:107" ht="15.75" thickBot="1" x14ac:dyDescent="0.3">
      <c r="A14" s="190" t="s">
        <v>24</v>
      </c>
      <c r="B14" s="571" t="s">
        <v>24</v>
      </c>
      <c r="C14" s="574" t="s">
        <v>24</v>
      </c>
      <c r="D14" s="574" t="s">
        <v>24</v>
      </c>
      <c r="E14" s="574" t="s">
        <v>24</v>
      </c>
      <c r="F14" s="574" t="s">
        <v>24</v>
      </c>
      <c r="G14" s="574" t="s">
        <v>24</v>
      </c>
      <c r="H14" s="574" t="s">
        <v>24</v>
      </c>
      <c r="I14" s="574" t="s">
        <v>24</v>
      </c>
      <c r="J14" s="574" t="s">
        <v>24</v>
      </c>
      <c r="K14" s="574" t="s">
        <v>24</v>
      </c>
      <c r="L14" s="574" t="s">
        <v>24</v>
      </c>
      <c r="M14" s="575" t="s">
        <v>24</v>
      </c>
      <c r="N14" s="586" t="s">
        <v>24</v>
      </c>
      <c r="O14" s="573" t="str">
        <f>O121</f>
        <v>10</v>
      </c>
      <c r="P14" s="574" t="str">
        <f t="shared" si="46"/>
        <v>15</v>
      </c>
      <c r="Q14" s="574" t="str">
        <f t="shared" si="46"/>
        <v>20</v>
      </c>
      <c r="R14" s="574" t="str">
        <f t="shared" si="46"/>
        <v>25</v>
      </c>
      <c r="S14" s="574" t="str">
        <f t="shared" si="46"/>
        <v>30</v>
      </c>
      <c r="T14" s="574" t="str">
        <f t="shared" si="46"/>
        <v>35</v>
      </c>
      <c r="U14" s="574" t="str">
        <f t="shared" si="46"/>
        <v>40</v>
      </c>
      <c r="V14" s="574" t="str">
        <f t="shared" si="46"/>
        <v>45</v>
      </c>
      <c r="W14" s="574" t="str">
        <f t="shared" si="46"/>
        <v>50</v>
      </c>
      <c r="X14" s="574" t="str">
        <f t="shared" si="46"/>
        <v>60</v>
      </c>
      <c r="Y14" s="574" t="str">
        <f t="shared" si="46"/>
        <v>70</v>
      </c>
      <c r="Z14" s="574" t="str">
        <f t="shared" si="46"/>
        <v>80</v>
      </c>
      <c r="AA14" s="574" t="str">
        <f t="shared" si="46"/>
        <v>90</v>
      </c>
      <c r="AB14" s="574" t="str">
        <f t="shared" si="46"/>
        <v>100</v>
      </c>
      <c r="AC14" s="625" t="s">
        <v>24</v>
      </c>
      <c r="AD14" s="625" t="s">
        <v>24</v>
      </c>
      <c r="AE14" s="574" t="s">
        <v>24</v>
      </c>
      <c r="AF14" s="625" t="s">
        <v>24</v>
      </c>
      <c r="AG14" s="626" t="s">
        <v>35</v>
      </c>
      <c r="AH14" s="627" t="s">
        <v>35</v>
      </c>
      <c r="AI14" s="626" t="s">
        <v>36</v>
      </c>
      <c r="AJ14" s="628" t="s">
        <v>36</v>
      </c>
      <c r="AP14" s="401">
        <f t="shared" si="40"/>
        <v>0</v>
      </c>
      <c r="AR14" s="56">
        <f t="shared" si="41"/>
        <v>3.125E-2</v>
      </c>
      <c r="AS14" s="67">
        <f>SUM(C18,C125,C232,C339,C446,C553,C660)/config!$AC$13</f>
        <v>0</v>
      </c>
      <c r="AT14" s="68">
        <f>SUM(D18:E18,D125:E125,D232:E232,D339:E339,D446:E446,D553:E553,D660:E660)/config!$AC$13</f>
        <v>0.42857142857142855</v>
      </c>
      <c r="AU14" s="68">
        <f>SUM(F18:G18,F125:G125,F232:G232,F339:G339,F446:G446,F553:G553,F660:G660)/config!$AC$13</f>
        <v>0</v>
      </c>
      <c r="AV14" s="68">
        <f>SUM(H18,H125,H232,H339,H446,H553,H660)/config!$AC$13</f>
        <v>0</v>
      </c>
      <c r="AW14" s="69">
        <f>SUM(I18:L18,I125:L125,I232:L232,I339:L339,I446:L446,I553:L553,I660:L660)/config!$AC$13</f>
        <v>0</v>
      </c>
      <c r="AY14" s="56">
        <f t="shared" si="42"/>
        <v>3.125E-2</v>
      </c>
      <c r="AZ14" s="70">
        <f t="shared" si="8"/>
        <v>2</v>
      </c>
      <c r="BA14" s="71">
        <f t="shared" si="9"/>
        <v>0</v>
      </c>
      <c r="BB14" s="71">
        <f t="shared" si="10"/>
        <v>1</v>
      </c>
      <c r="BC14" s="71">
        <f t="shared" si="11"/>
        <v>0</v>
      </c>
      <c r="BD14" s="71">
        <f t="shared" si="12"/>
        <v>0</v>
      </c>
      <c r="BE14" s="71">
        <f t="shared" si="13"/>
        <v>0</v>
      </c>
      <c r="BF14" s="72">
        <f t="shared" si="14"/>
        <v>0</v>
      </c>
      <c r="BG14" s="45"/>
      <c r="BH14" s="56">
        <f t="shared" si="15"/>
        <v>3.125E-2</v>
      </c>
      <c r="BI14" s="67">
        <f t="shared" si="16"/>
        <v>53.2</v>
      </c>
      <c r="BJ14" s="68" t="str">
        <f t="shared" si="17"/>
        <v/>
      </c>
      <c r="BK14" s="68">
        <f t="shared" si="18"/>
        <v>52.2</v>
      </c>
      <c r="BL14" s="68" t="str">
        <f t="shared" si="19"/>
        <v/>
      </c>
      <c r="BM14" s="68" t="str">
        <f t="shared" si="20"/>
        <v/>
      </c>
      <c r="BN14" s="68" t="str">
        <f t="shared" si="21"/>
        <v/>
      </c>
      <c r="BO14" s="69" t="str">
        <f t="shared" si="22"/>
        <v/>
      </c>
      <c r="BP14" s="63"/>
      <c r="BQ14" s="64">
        <f t="shared" si="23"/>
        <v>3.125E-2</v>
      </c>
      <c r="BR14" s="67" t="str">
        <f t="shared" si="24"/>
        <v/>
      </c>
      <c r="BS14" s="68" t="str">
        <f t="shared" si="25"/>
        <v/>
      </c>
      <c r="BT14" s="68" t="str">
        <f t="shared" si="26"/>
        <v/>
      </c>
      <c r="BU14" s="68" t="str">
        <f t="shared" si="27"/>
        <v/>
      </c>
      <c r="BV14" s="68" t="str">
        <f t="shared" si="28"/>
        <v/>
      </c>
      <c r="BW14" s="68" t="str">
        <f t="shared" si="29"/>
        <v/>
      </c>
      <c r="BX14" s="69" t="str">
        <f t="shared" si="30"/>
        <v/>
      </c>
      <c r="BY14" s="65"/>
      <c r="BZ14" s="66">
        <f t="shared" si="43"/>
        <v>52.7</v>
      </c>
      <c r="CA14" s="414" t="e">
        <f t="shared" si="31"/>
        <v>#N/A</v>
      </c>
      <c r="CB14" s="416">
        <f t="shared" si="48"/>
        <v>60</v>
      </c>
      <c r="CC14" s="65"/>
      <c r="CD14" s="67">
        <f t="shared" si="32"/>
        <v>1</v>
      </c>
      <c r="CE14" s="68">
        <f t="shared" si="33"/>
        <v>0</v>
      </c>
      <c r="CF14" s="68">
        <f t="shared" si="34"/>
        <v>0</v>
      </c>
      <c r="CG14" s="68">
        <f t="shared" si="35"/>
        <v>0</v>
      </c>
      <c r="CH14" s="68">
        <f t="shared" si="36"/>
        <v>0</v>
      </c>
      <c r="CI14" s="68">
        <f t="shared" si="37"/>
        <v>0</v>
      </c>
      <c r="CJ14" s="69">
        <f t="shared" si="38"/>
        <v>0</v>
      </c>
      <c r="CM14" s="67">
        <f t="shared" si="44"/>
        <v>106.4</v>
      </c>
      <c r="CN14" s="68" t="str">
        <f t="shared" si="39"/>
        <v/>
      </c>
      <c r="CO14" s="68">
        <f t="shared" si="39"/>
        <v>52.2</v>
      </c>
      <c r="CP14" s="68" t="str">
        <f t="shared" si="39"/>
        <v/>
      </c>
      <c r="CQ14" s="68" t="str">
        <f t="shared" si="39"/>
        <v/>
      </c>
      <c r="CR14" s="68" t="str">
        <f t="shared" si="39"/>
        <v/>
      </c>
      <c r="CS14" s="69" t="str">
        <f t="shared" si="39"/>
        <v/>
      </c>
      <c r="CU14" s="511">
        <f>SUM(SUMIF($AZ$8:$BF$8, {"NON";"NEUT"}, AZ14:BF14))/config!$AC$16</f>
        <v>0.6</v>
      </c>
      <c r="CV14" s="512">
        <f t="shared" si="45"/>
        <v>3.125E-2</v>
      </c>
      <c r="CY14" s="67">
        <f>SUM(C18*$CY$108, C125*$CY$109, C232*$CY$110, C339*$CY$111, C446*$CY$112, C553*$CY$113, C660*$CY$114)/config!$AC$16</f>
        <v>0</v>
      </c>
      <c r="CZ14" s="68">
        <f>SUM(SUM(D18:E18)*$CY$108, SUM(D125:E125)*$CY$109, SUM(D232:E232)*$CY$110, SUM(D339:E339)*$CY$111, SUM(D446:E446)*$CY$112, SUM(D553:E553)*$CY$113, SUM(D660:E660)*$CY$114)/config!$AC$16</f>
        <v>0.6</v>
      </c>
      <c r="DA14" s="68">
        <f>SUM(SUM(F18:G18)*$CY$108, SUM(F125:G125)*$CY$109, SUM(F232:G232)*$CY$110, SUM(F339:G339)*$CY$111, SUM(F446:G446)*$CY$112, SUM(F553:G553)*$CY$113, SUM(F660:G660)*$CY$114)/config!$AC$16</f>
        <v>0</v>
      </c>
      <c r="DB14" s="68">
        <f>SUM(H18*$CY$108, H125*$CY$109, H232*$CY$110, H339*$CY$111, H446*$CY$112, H553*$CY$113, H660*$CY$114)/config!$AC$16</f>
        <v>0</v>
      </c>
      <c r="DC14" s="69">
        <f>SUM(SUM(I18:L18)*$CY$108, SUM(I125:L125)*$CY$109, SUM(I232:L232)*$CY$110, SUM(I339:L339)*$CY$111, SUM(I446:L446)*$CY$112, SUM(I553:L553)*$CY$113, SUM(I660:L660)*$CY$114)/config!$AC$16</f>
        <v>0</v>
      </c>
    </row>
    <row r="15" spans="1:107" ht="15.75" thickBot="1" x14ac:dyDescent="0.3">
      <c r="A15" s="190" t="s">
        <v>37</v>
      </c>
      <c r="B15" s="691">
        <v>0</v>
      </c>
      <c r="C15" s="652">
        <v>0</v>
      </c>
      <c r="D15" s="639">
        <v>0</v>
      </c>
      <c r="E15" s="639">
        <v>0</v>
      </c>
      <c r="F15" s="639">
        <v>0</v>
      </c>
      <c r="G15" s="639">
        <v>0</v>
      </c>
      <c r="H15" s="639">
        <v>0</v>
      </c>
      <c r="I15" s="639">
        <v>0</v>
      </c>
      <c r="J15" s="639">
        <v>0</v>
      </c>
      <c r="K15" s="639">
        <v>0</v>
      </c>
      <c r="L15" s="639">
        <v>0</v>
      </c>
      <c r="M15" s="653" t="s">
        <v>24</v>
      </c>
      <c r="N15" s="669" t="s">
        <v>37</v>
      </c>
      <c r="O15" s="638">
        <v>0</v>
      </c>
      <c r="P15" s="639">
        <v>0</v>
      </c>
      <c r="Q15" s="639">
        <v>0</v>
      </c>
      <c r="R15" s="639">
        <v>0</v>
      </c>
      <c r="S15" s="639">
        <v>0</v>
      </c>
      <c r="T15" s="639">
        <v>0</v>
      </c>
      <c r="U15" s="639">
        <v>0</v>
      </c>
      <c r="V15" s="639">
        <v>0</v>
      </c>
      <c r="W15" s="639">
        <v>0</v>
      </c>
      <c r="X15" s="639">
        <v>0</v>
      </c>
      <c r="Y15" s="639">
        <v>0</v>
      </c>
      <c r="Z15" s="639">
        <v>0</v>
      </c>
      <c r="AA15" s="639">
        <v>0</v>
      </c>
      <c r="AB15" s="639">
        <v>0</v>
      </c>
      <c r="AC15" s="640" t="s">
        <v>24</v>
      </c>
      <c r="AD15" s="640" t="s">
        <v>24</v>
      </c>
      <c r="AE15" s="639">
        <v>0</v>
      </c>
      <c r="AF15" s="640">
        <v>0</v>
      </c>
      <c r="AG15" s="639">
        <v>0</v>
      </c>
      <c r="AH15" s="640">
        <v>0</v>
      </c>
      <c r="AI15" s="639">
        <v>0</v>
      </c>
      <c r="AJ15" s="641">
        <v>0</v>
      </c>
      <c r="AP15" s="401">
        <f t="shared" si="40"/>
        <v>0</v>
      </c>
      <c r="AR15" s="56">
        <f t="shared" si="41"/>
        <v>4.1666666666666664E-2</v>
      </c>
      <c r="AS15" s="67">
        <f>SUM(C19,C126,C233,C340,C447,C554,C661)/config!$AC$13</f>
        <v>0</v>
      </c>
      <c r="AT15" s="68">
        <f>SUM(D19:E19,D126:E126,D233:E233,D340:E340,D447:E447,D554:E554,D661:E661)/config!$AC$13</f>
        <v>0.42857142857142855</v>
      </c>
      <c r="AU15" s="68">
        <f>SUM(F19:G19,F126:G126,F233:G233,F340:G340,F447:G447,F554:G554,F661:G661)/config!$AC$13</f>
        <v>0</v>
      </c>
      <c r="AV15" s="68">
        <f>SUM(H19,H126,H233,H340,H447,H554,H661)/config!$AC$13</f>
        <v>0</v>
      </c>
      <c r="AW15" s="69">
        <f>SUM(I19:L19,I126:L126,I233:L233,I340:L340,I447:L447,I554:L554,I661:L661)/config!$AC$13</f>
        <v>0</v>
      </c>
      <c r="AY15" s="56">
        <f t="shared" si="42"/>
        <v>4.1666666666666664E-2</v>
      </c>
      <c r="AZ15" s="70">
        <f t="shared" si="8"/>
        <v>0</v>
      </c>
      <c r="BA15" s="71">
        <f t="shared" si="9"/>
        <v>0</v>
      </c>
      <c r="BB15" s="71">
        <f t="shared" si="10"/>
        <v>0</v>
      </c>
      <c r="BC15" s="71">
        <f t="shared" si="11"/>
        <v>1</v>
      </c>
      <c r="BD15" s="71">
        <f t="shared" si="12"/>
        <v>1</v>
      </c>
      <c r="BE15" s="71">
        <f t="shared" si="13"/>
        <v>1</v>
      </c>
      <c r="BF15" s="72">
        <f t="shared" si="14"/>
        <v>0</v>
      </c>
      <c r="BG15" s="45"/>
      <c r="BH15" s="56">
        <f t="shared" si="15"/>
        <v>4.1666666666666664E-2</v>
      </c>
      <c r="BI15" s="67" t="str">
        <f t="shared" si="16"/>
        <v/>
      </c>
      <c r="BJ15" s="68" t="str">
        <f t="shared" si="17"/>
        <v/>
      </c>
      <c r="BK15" s="68" t="str">
        <f t="shared" si="18"/>
        <v/>
      </c>
      <c r="BL15" s="68">
        <f t="shared" si="19"/>
        <v>50.6</v>
      </c>
      <c r="BM15" s="68">
        <f t="shared" si="20"/>
        <v>42.2</v>
      </c>
      <c r="BN15" s="68">
        <f t="shared" si="21"/>
        <v>50</v>
      </c>
      <c r="BO15" s="69" t="str">
        <f t="shared" si="22"/>
        <v/>
      </c>
      <c r="BP15" s="63"/>
      <c r="BQ15" s="64">
        <f t="shared" si="23"/>
        <v>4.1666666666666664E-2</v>
      </c>
      <c r="BR15" s="67" t="str">
        <f t="shared" si="24"/>
        <v/>
      </c>
      <c r="BS15" s="68" t="str">
        <f t="shared" si="25"/>
        <v/>
      </c>
      <c r="BT15" s="68" t="str">
        <f t="shared" si="26"/>
        <v/>
      </c>
      <c r="BU15" s="68" t="str">
        <f t="shared" si="27"/>
        <v/>
      </c>
      <c r="BV15" s="68" t="str">
        <f t="shared" si="28"/>
        <v/>
      </c>
      <c r="BW15" s="68" t="str">
        <f t="shared" si="29"/>
        <v/>
      </c>
      <c r="BX15" s="69" t="str">
        <f t="shared" si="30"/>
        <v/>
      </c>
      <c r="BY15" s="65"/>
      <c r="BZ15" s="66">
        <f t="shared" si="43"/>
        <v>47.6</v>
      </c>
      <c r="CA15" s="414" t="e">
        <f t="shared" si="31"/>
        <v>#N/A</v>
      </c>
      <c r="CB15" s="416">
        <f t="shared" si="48"/>
        <v>60</v>
      </c>
      <c r="CC15" s="65"/>
      <c r="CD15" s="67">
        <f t="shared" si="32"/>
        <v>0</v>
      </c>
      <c r="CE15" s="68">
        <f t="shared" si="33"/>
        <v>0</v>
      </c>
      <c r="CF15" s="68">
        <f t="shared" si="34"/>
        <v>0</v>
      </c>
      <c r="CG15" s="68">
        <f t="shared" si="35"/>
        <v>0</v>
      </c>
      <c r="CH15" s="68">
        <f t="shared" si="36"/>
        <v>0</v>
      </c>
      <c r="CI15" s="68">
        <f t="shared" si="37"/>
        <v>0</v>
      </c>
      <c r="CJ15" s="69">
        <f t="shared" si="38"/>
        <v>0</v>
      </c>
      <c r="CM15" s="67" t="str">
        <f t="shared" si="44"/>
        <v/>
      </c>
      <c r="CN15" s="68" t="str">
        <f t="shared" si="39"/>
        <v/>
      </c>
      <c r="CO15" s="68" t="str">
        <f t="shared" si="39"/>
        <v/>
      </c>
      <c r="CP15" s="68">
        <f t="shared" si="39"/>
        <v>50.6</v>
      </c>
      <c r="CQ15" s="68">
        <f t="shared" si="39"/>
        <v>42.2</v>
      </c>
      <c r="CR15" s="68">
        <f t="shared" si="39"/>
        <v>50</v>
      </c>
      <c r="CS15" s="69" t="str">
        <f t="shared" si="39"/>
        <v/>
      </c>
      <c r="CU15" s="511">
        <f>SUM(SUMIF($AZ$8:$BF$8, {"NON";"NEUT"}, AZ15:BF15))/config!$AC$16</f>
        <v>0.2</v>
      </c>
      <c r="CV15" s="512">
        <f t="shared" si="45"/>
        <v>4.1666666666666664E-2</v>
      </c>
      <c r="CY15" s="67">
        <f>SUM(C19*$CY$108, C126*$CY$109, C233*$CY$110, C340*$CY$111, C447*$CY$112, C554*$CY$113, C661*$CY$114)/config!$AC$16</f>
        <v>0</v>
      </c>
      <c r="CZ15" s="68">
        <f>SUM(SUM(D19:E19)*$CY$108, SUM(D126:E126)*$CY$109, SUM(D233:E233)*$CY$110, SUM(D340:E340)*$CY$111, SUM(D447:E447)*$CY$112, SUM(D554:E554)*$CY$113, SUM(D661:E661)*$CY$114)/config!$AC$16</f>
        <v>0.2</v>
      </c>
      <c r="DA15" s="68">
        <f>SUM(SUM(F19:G19)*$CY$108, SUM(F126:G126)*$CY$109, SUM(F233:G233)*$CY$110, SUM(F340:G340)*$CY$111, SUM(F447:G447)*$CY$112, SUM(F554:G554)*$CY$113, SUM(F661:G661)*$CY$114)/config!$AC$16</f>
        <v>0</v>
      </c>
      <c r="DB15" s="68">
        <f>SUM(H19*$CY$108, H126*$CY$109, H233*$CY$110, H340*$CY$111, H447*$CY$112, H554*$CY$113, H661*$CY$114)/config!$AC$16</f>
        <v>0</v>
      </c>
      <c r="DC15" s="69">
        <f>SUM(SUM(I19:L19)*$CY$108, SUM(I126:L126)*$CY$109, SUM(I233:L233)*$CY$110, SUM(I340:L340)*$CY$111, SUM(I447:L447)*$CY$112, SUM(I554:L554)*$CY$113, SUM(I661:L661)*$CY$114)/config!$AC$16</f>
        <v>0</v>
      </c>
    </row>
    <row r="16" spans="1:107" ht="15" x14ac:dyDescent="0.25">
      <c r="A16" s="190" t="s">
        <v>38</v>
      </c>
      <c r="B16" s="646">
        <v>0</v>
      </c>
      <c r="C16" s="184">
        <v>0</v>
      </c>
      <c r="D16" s="184">
        <v>0</v>
      </c>
      <c r="E16" s="184">
        <v>0</v>
      </c>
      <c r="F16" s="184">
        <v>0</v>
      </c>
      <c r="G16" s="184">
        <v>0</v>
      </c>
      <c r="H16" s="184">
        <v>0</v>
      </c>
      <c r="I16" s="184">
        <v>0</v>
      </c>
      <c r="J16" s="184">
        <v>0</v>
      </c>
      <c r="K16" s="184">
        <v>0</v>
      </c>
      <c r="L16" s="184">
        <v>0</v>
      </c>
      <c r="M16" s="654" t="s">
        <v>24</v>
      </c>
      <c r="N16" s="669" t="s">
        <v>38</v>
      </c>
      <c r="O16" s="642">
        <v>0</v>
      </c>
      <c r="P16" s="184">
        <v>0</v>
      </c>
      <c r="Q16" s="184">
        <v>0</v>
      </c>
      <c r="R16" s="184">
        <v>0</v>
      </c>
      <c r="S16" s="184">
        <v>0</v>
      </c>
      <c r="T16" s="184">
        <v>0</v>
      </c>
      <c r="U16" s="184">
        <v>0</v>
      </c>
      <c r="V16" s="184">
        <v>0</v>
      </c>
      <c r="W16" s="184">
        <v>0</v>
      </c>
      <c r="X16" s="184">
        <v>0</v>
      </c>
      <c r="Y16" s="184">
        <v>0</v>
      </c>
      <c r="Z16" s="184">
        <v>0</v>
      </c>
      <c r="AA16" s="184">
        <v>0</v>
      </c>
      <c r="AB16" s="184">
        <v>0</v>
      </c>
      <c r="AC16" s="185" t="s">
        <v>24</v>
      </c>
      <c r="AD16" s="185" t="s">
        <v>24</v>
      </c>
      <c r="AE16" s="184">
        <v>0</v>
      </c>
      <c r="AF16" s="185">
        <v>0</v>
      </c>
      <c r="AG16" s="184">
        <v>0</v>
      </c>
      <c r="AH16" s="185">
        <v>0</v>
      </c>
      <c r="AI16" s="184">
        <v>0</v>
      </c>
      <c r="AJ16" s="643">
        <v>0</v>
      </c>
      <c r="AP16" s="401">
        <f t="shared" si="40"/>
        <v>0</v>
      </c>
      <c r="AR16" s="56">
        <f t="shared" si="41"/>
        <v>5.2083333333333329E-2</v>
      </c>
      <c r="AS16" s="67">
        <f>SUM(C20,C127,C234,C341,C448,C555,C662)/config!$AC$13</f>
        <v>0</v>
      </c>
      <c r="AT16" s="68">
        <f>SUM(D20:E20,D127:E127,D234:E234,D341:E341,D448:E448,D555:E555,D662:E662)/config!$AC$13</f>
        <v>0.14285714285714285</v>
      </c>
      <c r="AU16" s="68">
        <f>SUM(F20:G20,F127:G127,F234:G234,F341:G341,F448:G448,F555:G555,F662:G662)/config!$AC$13</f>
        <v>0</v>
      </c>
      <c r="AV16" s="68">
        <f>SUM(H20,H127,H234,H341,H448,H555,H662)/config!$AC$13</f>
        <v>0</v>
      </c>
      <c r="AW16" s="69">
        <f>SUM(I20:L20,I127:L127,I234:L234,I341:L341,I448:L448,I555:L555,I662:L662)/config!$AC$13</f>
        <v>0</v>
      </c>
      <c r="AY16" s="56">
        <f t="shared" si="42"/>
        <v>5.2083333333333329E-2</v>
      </c>
      <c r="AZ16" s="70">
        <f t="shared" si="8"/>
        <v>0</v>
      </c>
      <c r="BA16" s="71">
        <f t="shared" si="9"/>
        <v>0</v>
      </c>
      <c r="BB16" s="71">
        <f t="shared" si="10"/>
        <v>0</v>
      </c>
      <c r="BC16" s="71">
        <f t="shared" si="11"/>
        <v>0</v>
      </c>
      <c r="BD16" s="71">
        <f t="shared" si="12"/>
        <v>1</v>
      </c>
      <c r="BE16" s="71">
        <f t="shared" si="13"/>
        <v>0</v>
      </c>
      <c r="BF16" s="72">
        <f t="shared" si="14"/>
        <v>0</v>
      </c>
      <c r="BG16" s="45"/>
      <c r="BH16" s="56">
        <f t="shared" si="15"/>
        <v>5.2083333333333329E-2</v>
      </c>
      <c r="BI16" s="67" t="str">
        <f t="shared" si="16"/>
        <v/>
      </c>
      <c r="BJ16" s="68" t="str">
        <f t="shared" si="17"/>
        <v/>
      </c>
      <c r="BK16" s="68" t="str">
        <f t="shared" si="18"/>
        <v/>
      </c>
      <c r="BL16" s="68" t="str">
        <f t="shared" si="19"/>
        <v/>
      </c>
      <c r="BM16" s="68">
        <f t="shared" si="20"/>
        <v>42.1</v>
      </c>
      <c r="BN16" s="68" t="str">
        <f t="shared" si="21"/>
        <v/>
      </c>
      <c r="BO16" s="69" t="str">
        <f t="shared" si="22"/>
        <v/>
      </c>
      <c r="BP16" s="63"/>
      <c r="BQ16" s="64">
        <f t="shared" si="23"/>
        <v>5.2083333333333329E-2</v>
      </c>
      <c r="BR16" s="67" t="str">
        <f t="shared" si="24"/>
        <v/>
      </c>
      <c r="BS16" s="68" t="str">
        <f t="shared" si="25"/>
        <v/>
      </c>
      <c r="BT16" s="68" t="str">
        <f t="shared" si="26"/>
        <v/>
      </c>
      <c r="BU16" s="68" t="str">
        <f t="shared" si="27"/>
        <v/>
      </c>
      <c r="BV16" s="68" t="str">
        <f t="shared" si="28"/>
        <v/>
      </c>
      <c r="BW16" s="68" t="str">
        <f t="shared" si="29"/>
        <v/>
      </c>
      <c r="BX16" s="69" t="str">
        <f t="shared" si="30"/>
        <v/>
      </c>
      <c r="BY16" s="65"/>
      <c r="BZ16" s="66">
        <f t="shared" si="43"/>
        <v>42.1</v>
      </c>
      <c r="CA16" s="414" t="e">
        <f t="shared" si="31"/>
        <v>#N/A</v>
      </c>
      <c r="CB16" s="416">
        <f t="shared" si="48"/>
        <v>60</v>
      </c>
      <c r="CC16" s="65"/>
      <c r="CD16" s="67">
        <f t="shared" si="32"/>
        <v>0</v>
      </c>
      <c r="CE16" s="68">
        <f t="shared" si="33"/>
        <v>0</v>
      </c>
      <c r="CF16" s="68">
        <f t="shared" si="34"/>
        <v>0</v>
      </c>
      <c r="CG16" s="68">
        <f t="shared" si="35"/>
        <v>0</v>
      </c>
      <c r="CH16" s="68">
        <f t="shared" si="36"/>
        <v>0</v>
      </c>
      <c r="CI16" s="68">
        <f t="shared" si="37"/>
        <v>0</v>
      </c>
      <c r="CJ16" s="69">
        <f t="shared" si="38"/>
        <v>0</v>
      </c>
      <c r="CM16" s="67" t="str">
        <f t="shared" si="44"/>
        <v/>
      </c>
      <c r="CN16" s="68" t="str">
        <f t="shared" si="39"/>
        <v/>
      </c>
      <c r="CO16" s="68" t="str">
        <f t="shared" si="39"/>
        <v/>
      </c>
      <c r="CP16" s="68" t="str">
        <f t="shared" si="39"/>
        <v/>
      </c>
      <c r="CQ16" s="68">
        <f t="shared" si="39"/>
        <v>42.1</v>
      </c>
      <c r="CR16" s="68" t="str">
        <f t="shared" si="39"/>
        <v/>
      </c>
      <c r="CS16" s="69" t="str">
        <f t="shared" si="39"/>
        <v/>
      </c>
      <c r="CU16" s="511">
        <f>SUM(SUMIF($AZ$8:$BF$8, {"NON";"NEUT"}, AZ16:BF16))/config!$AC$16</f>
        <v>0</v>
      </c>
      <c r="CV16" s="512">
        <f t="shared" si="45"/>
        <v>5.2083333333333329E-2</v>
      </c>
      <c r="CY16" s="67">
        <f>SUM(C20*$CY$108, C127*$CY$109, C234*$CY$110, C341*$CY$111, C448*$CY$112, C555*$CY$113, C662*$CY$114)/config!$AC$16</f>
        <v>0</v>
      </c>
      <c r="CZ16" s="68">
        <f>SUM(SUM(D20:E20)*$CY$108, SUM(D127:E127)*$CY$109, SUM(D234:E234)*$CY$110, SUM(D341:E341)*$CY$111, SUM(D448:E448)*$CY$112, SUM(D555:E555)*$CY$113, SUM(D662:E662)*$CY$114)/config!$AC$16</f>
        <v>0</v>
      </c>
      <c r="DA16" s="68">
        <f>SUM(SUM(F20:G20)*$CY$108, SUM(F127:G127)*$CY$109, SUM(F234:G234)*$CY$110, SUM(F341:G341)*$CY$111, SUM(F448:G448)*$CY$112, SUM(F555:G555)*$CY$113, SUM(F662:G662)*$CY$114)/config!$AC$16</f>
        <v>0</v>
      </c>
      <c r="DB16" s="68">
        <f>SUM(H20*$CY$108, H127*$CY$109, H234*$CY$110, H341*$CY$111, H448*$CY$112, H555*$CY$113, H662*$CY$114)/config!$AC$16</f>
        <v>0</v>
      </c>
      <c r="DC16" s="69">
        <f>SUM(SUM(I20:L20)*$CY$108, SUM(I127:L127)*$CY$109, SUM(I234:L234)*$CY$110, SUM(I341:L341)*$CY$111, SUM(I448:L448)*$CY$112, SUM(I555:L555)*$CY$113, SUM(I662:L662)*$CY$114)/config!$AC$16</f>
        <v>0</v>
      </c>
    </row>
    <row r="17" spans="1:107" ht="15" x14ac:dyDescent="0.25">
      <c r="A17" s="190" t="s">
        <v>40</v>
      </c>
      <c r="B17" s="642">
        <v>1</v>
      </c>
      <c r="C17" s="184">
        <v>0</v>
      </c>
      <c r="D17" s="184">
        <v>1</v>
      </c>
      <c r="E17" s="184">
        <v>0</v>
      </c>
      <c r="F17" s="184">
        <v>0</v>
      </c>
      <c r="G17" s="184">
        <v>0</v>
      </c>
      <c r="H17" s="184">
        <v>0</v>
      </c>
      <c r="I17" s="184">
        <v>0</v>
      </c>
      <c r="J17" s="184">
        <v>0</v>
      </c>
      <c r="K17" s="184">
        <v>0</v>
      </c>
      <c r="L17" s="184">
        <v>0</v>
      </c>
      <c r="M17" s="654" t="s">
        <v>24</v>
      </c>
      <c r="N17" s="669" t="s">
        <v>40</v>
      </c>
      <c r="O17" s="642">
        <v>0</v>
      </c>
      <c r="P17" s="184">
        <v>0</v>
      </c>
      <c r="Q17" s="184">
        <v>0</v>
      </c>
      <c r="R17" s="184">
        <v>0</v>
      </c>
      <c r="S17" s="184">
        <v>0</v>
      </c>
      <c r="T17" s="184">
        <v>0</v>
      </c>
      <c r="U17" s="184">
        <v>0</v>
      </c>
      <c r="V17" s="184">
        <v>0</v>
      </c>
      <c r="W17" s="184">
        <v>1</v>
      </c>
      <c r="X17" s="184">
        <v>0</v>
      </c>
      <c r="Y17" s="184">
        <v>0</v>
      </c>
      <c r="Z17" s="184">
        <v>0</v>
      </c>
      <c r="AA17" s="184">
        <v>0</v>
      </c>
      <c r="AB17" s="184">
        <v>0</v>
      </c>
      <c r="AC17" s="185">
        <v>46.4</v>
      </c>
      <c r="AD17" s="185" t="s">
        <v>24</v>
      </c>
      <c r="AE17" s="184">
        <v>0</v>
      </c>
      <c r="AF17" s="185">
        <v>0</v>
      </c>
      <c r="AG17" s="184">
        <v>0</v>
      </c>
      <c r="AH17" s="185">
        <v>0</v>
      </c>
      <c r="AI17" s="184">
        <v>0</v>
      </c>
      <c r="AJ17" s="643">
        <v>0</v>
      </c>
      <c r="AP17" s="401">
        <f t="shared" si="40"/>
        <v>0</v>
      </c>
      <c r="AR17" s="56">
        <f t="shared" si="41"/>
        <v>6.2499999999999993E-2</v>
      </c>
      <c r="AS17" s="67">
        <f>SUM(C21,C128,C235,C342,C449,C556,C663)/config!$AC$13</f>
        <v>0</v>
      </c>
      <c r="AT17" s="68">
        <f>SUM(D21:E21,D128:E128,D235:E235,D342:E342,D449:E449,D556:E556,D663:E663)/config!$AC$13</f>
        <v>0.42857142857142855</v>
      </c>
      <c r="AU17" s="68">
        <f>SUM(F21:G21,F128:G128,F235:G235,F342:G342,F449:G449,F556:G556,F663:G663)/config!$AC$13</f>
        <v>0</v>
      </c>
      <c r="AV17" s="68">
        <f>SUM(H21,H128,H235,H342,H449,H556,H663)/config!$AC$13</f>
        <v>0</v>
      </c>
      <c r="AW17" s="69">
        <f>SUM(I21:L21,I128:L128,I235:L235,I342:L342,I449:L449,I556:L556,I663:L663)/config!$AC$13</f>
        <v>0</v>
      </c>
      <c r="AY17" s="56">
        <f t="shared" si="42"/>
        <v>6.2499999999999993E-2</v>
      </c>
      <c r="AZ17" s="70">
        <f t="shared" si="8"/>
        <v>0</v>
      </c>
      <c r="BA17" s="71">
        <f t="shared" si="9"/>
        <v>0</v>
      </c>
      <c r="BB17" s="71">
        <f t="shared" si="10"/>
        <v>0</v>
      </c>
      <c r="BC17" s="71">
        <f t="shared" si="11"/>
        <v>0</v>
      </c>
      <c r="BD17" s="71">
        <f t="shared" si="12"/>
        <v>2</v>
      </c>
      <c r="BE17" s="71">
        <f t="shared" si="13"/>
        <v>0</v>
      </c>
      <c r="BF17" s="72">
        <f t="shared" si="14"/>
        <v>1</v>
      </c>
      <c r="BG17" s="45"/>
      <c r="BH17" s="56">
        <f t="shared" si="15"/>
        <v>6.2499999999999993E-2</v>
      </c>
      <c r="BI17" s="67" t="str">
        <f t="shared" si="16"/>
        <v/>
      </c>
      <c r="BJ17" s="68" t="str">
        <f t="shared" si="17"/>
        <v/>
      </c>
      <c r="BK17" s="68" t="str">
        <f t="shared" si="18"/>
        <v/>
      </c>
      <c r="BL17" s="68" t="str">
        <f t="shared" si="19"/>
        <v/>
      </c>
      <c r="BM17" s="68">
        <f t="shared" si="20"/>
        <v>39.5</v>
      </c>
      <c r="BN17" s="68" t="str">
        <f t="shared" si="21"/>
        <v/>
      </c>
      <c r="BO17" s="69">
        <f t="shared" si="22"/>
        <v>41.4</v>
      </c>
      <c r="BP17" s="63"/>
      <c r="BQ17" s="64">
        <f t="shared" si="23"/>
        <v>6.2499999999999993E-2</v>
      </c>
      <c r="BR17" s="67" t="str">
        <f t="shared" si="24"/>
        <v/>
      </c>
      <c r="BS17" s="68" t="str">
        <f t="shared" si="25"/>
        <v/>
      </c>
      <c r="BT17" s="68" t="str">
        <f t="shared" si="26"/>
        <v/>
      </c>
      <c r="BU17" s="68" t="str">
        <f t="shared" si="27"/>
        <v/>
      </c>
      <c r="BV17" s="68" t="str">
        <f t="shared" si="28"/>
        <v/>
      </c>
      <c r="BW17" s="68" t="str">
        <f t="shared" si="29"/>
        <v/>
      </c>
      <c r="BX17" s="69" t="str">
        <f t="shared" si="30"/>
        <v/>
      </c>
      <c r="BY17" s="65"/>
      <c r="BZ17" s="66">
        <f t="shared" si="43"/>
        <v>40.450000000000003</v>
      </c>
      <c r="CA17" s="414" t="e">
        <f t="shared" si="31"/>
        <v>#N/A</v>
      </c>
      <c r="CB17" s="416">
        <f t="shared" si="48"/>
        <v>60</v>
      </c>
      <c r="CC17" s="65"/>
      <c r="CD17" s="67">
        <f t="shared" si="32"/>
        <v>0</v>
      </c>
      <c r="CE17" s="68">
        <f t="shared" si="33"/>
        <v>0</v>
      </c>
      <c r="CF17" s="68">
        <f t="shared" si="34"/>
        <v>0</v>
      </c>
      <c r="CG17" s="68">
        <f t="shared" si="35"/>
        <v>0</v>
      </c>
      <c r="CH17" s="68">
        <f t="shared" si="36"/>
        <v>0</v>
      </c>
      <c r="CI17" s="68">
        <f t="shared" si="37"/>
        <v>0</v>
      </c>
      <c r="CJ17" s="69">
        <f t="shared" si="38"/>
        <v>0</v>
      </c>
      <c r="CM17" s="67" t="str">
        <f t="shared" si="44"/>
        <v/>
      </c>
      <c r="CN17" s="68" t="str">
        <f t="shared" si="39"/>
        <v/>
      </c>
      <c r="CO17" s="68" t="str">
        <f t="shared" si="39"/>
        <v/>
      </c>
      <c r="CP17" s="68" t="str">
        <f t="shared" si="39"/>
        <v/>
      </c>
      <c r="CQ17" s="68">
        <f t="shared" si="39"/>
        <v>79</v>
      </c>
      <c r="CR17" s="68" t="str">
        <f t="shared" si="39"/>
        <v/>
      </c>
      <c r="CS17" s="69">
        <f t="shared" si="39"/>
        <v>41.4</v>
      </c>
      <c r="CU17" s="511">
        <f>SUM(SUMIF($AZ$8:$BF$8, {"NON";"NEUT"}, AZ17:BF17))/config!$AC$16</f>
        <v>0.2</v>
      </c>
      <c r="CV17" s="512">
        <f t="shared" si="45"/>
        <v>6.2499999999999993E-2</v>
      </c>
      <c r="CY17" s="67">
        <f>SUM(C21*$CY$108, C128*$CY$109, C235*$CY$110, C342*$CY$111, C449*$CY$112, C556*$CY$113, C663*$CY$114)/config!$AC$16</f>
        <v>0</v>
      </c>
      <c r="CZ17" s="68">
        <f>SUM(SUM(D21:E21)*$CY$108, SUM(D128:E128)*$CY$109, SUM(D235:E235)*$CY$110, SUM(D342:E342)*$CY$111, SUM(D449:E449)*$CY$112, SUM(D556:E556)*$CY$113, SUM(D663:E663)*$CY$114)/config!$AC$16</f>
        <v>0.2</v>
      </c>
      <c r="DA17" s="68">
        <f>SUM(SUM(F21:G21)*$CY$108, SUM(F128:G128)*$CY$109, SUM(F235:G235)*$CY$110, SUM(F342:G342)*$CY$111, SUM(F449:G449)*$CY$112, SUM(F556:G556)*$CY$113, SUM(F663:G663)*$CY$114)/config!$AC$16</f>
        <v>0</v>
      </c>
      <c r="DB17" s="68">
        <f>SUM(H21*$CY$108, H128*$CY$109, H235*$CY$110, H342*$CY$111, H449*$CY$112, H556*$CY$113, H663*$CY$114)/config!$AC$16</f>
        <v>0</v>
      </c>
      <c r="DC17" s="69">
        <f>SUM(SUM(I21:L21)*$CY$108, SUM(I128:L128)*$CY$109, SUM(I235:L235)*$CY$110, SUM(I342:L342)*$CY$111, SUM(I449:L449)*$CY$112, SUM(I556:L556)*$CY$113, SUM(I663:L663)*$CY$114)/config!$AC$16</f>
        <v>0</v>
      </c>
    </row>
    <row r="18" spans="1:107" ht="15" x14ac:dyDescent="0.25">
      <c r="A18" s="190" t="s">
        <v>42</v>
      </c>
      <c r="B18" s="642">
        <v>2</v>
      </c>
      <c r="C18" s="184">
        <v>0</v>
      </c>
      <c r="D18" s="184">
        <v>2</v>
      </c>
      <c r="E18" s="184">
        <v>0</v>
      </c>
      <c r="F18" s="184">
        <v>0</v>
      </c>
      <c r="G18" s="184">
        <v>0</v>
      </c>
      <c r="H18" s="184">
        <v>0</v>
      </c>
      <c r="I18" s="184">
        <v>0</v>
      </c>
      <c r="J18" s="184">
        <v>0</v>
      </c>
      <c r="K18" s="184">
        <v>0</v>
      </c>
      <c r="L18" s="184">
        <v>0</v>
      </c>
      <c r="M18" s="654" t="s">
        <v>24</v>
      </c>
      <c r="N18" s="669" t="s">
        <v>42</v>
      </c>
      <c r="O18" s="642">
        <v>0</v>
      </c>
      <c r="P18" s="184">
        <v>0</v>
      </c>
      <c r="Q18" s="184">
        <v>0</v>
      </c>
      <c r="R18" s="184">
        <v>0</v>
      </c>
      <c r="S18" s="184">
        <v>0</v>
      </c>
      <c r="T18" s="184">
        <v>0</v>
      </c>
      <c r="U18" s="184">
        <v>0</v>
      </c>
      <c r="V18" s="184">
        <v>0</v>
      </c>
      <c r="W18" s="184">
        <v>1</v>
      </c>
      <c r="X18" s="184">
        <v>0</v>
      </c>
      <c r="Y18" s="184">
        <v>1</v>
      </c>
      <c r="Z18" s="184">
        <v>0</v>
      </c>
      <c r="AA18" s="184">
        <v>0</v>
      </c>
      <c r="AB18" s="184">
        <v>0</v>
      </c>
      <c r="AC18" s="185">
        <v>53.2</v>
      </c>
      <c r="AD18" s="185" t="s">
        <v>24</v>
      </c>
      <c r="AE18" s="184">
        <v>1</v>
      </c>
      <c r="AF18" s="185">
        <v>50</v>
      </c>
      <c r="AG18" s="184">
        <v>0</v>
      </c>
      <c r="AH18" s="185">
        <v>0</v>
      </c>
      <c r="AI18" s="184">
        <v>0</v>
      </c>
      <c r="AJ18" s="643">
        <v>0</v>
      </c>
      <c r="AP18" s="401">
        <f t="shared" si="40"/>
        <v>0</v>
      </c>
      <c r="AR18" s="56">
        <f t="shared" si="41"/>
        <v>7.2916666666666657E-2</v>
      </c>
      <c r="AS18" s="67">
        <f>SUM(C22,C129,C236,C343,C450,C557,C664)/config!$AC$13</f>
        <v>0</v>
      </c>
      <c r="AT18" s="68">
        <f>SUM(D22:E22,D129:E129,D236:E236,D343:E343,D450:E450,D557:E557,D664:E664)/config!$AC$13</f>
        <v>0.2857142857142857</v>
      </c>
      <c r="AU18" s="68">
        <f>SUM(F22:G22,F129:G129,F236:G236,F343:G343,F450:G450,F557:G557,F664:G664)/config!$AC$13</f>
        <v>0</v>
      </c>
      <c r="AV18" s="68">
        <f>SUM(H22,H129,H236,H343,H450,H557,H664)/config!$AC$13</f>
        <v>0</v>
      </c>
      <c r="AW18" s="69">
        <f>SUM(I22:L22,I129:L129,I236:L236,I343:L343,I450:L450,I557:L557,I664:L664)/config!$AC$13</f>
        <v>0</v>
      </c>
      <c r="AY18" s="56">
        <f t="shared" si="42"/>
        <v>7.2916666666666657E-2</v>
      </c>
      <c r="AZ18" s="70">
        <f t="shared" si="8"/>
        <v>0</v>
      </c>
      <c r="BA18" s="71">
        <f t="shared" si="9"/>
        <v>0</v>
      </c>
      <c r="BB18" s="71">
        <f t="shared" si="10"/>
        <v>0</v>
      </c>
      <c r="BC18" s="71">
        <f t="shared" si="11"/>
        <v>0</v>
      </c>
      <c r="BD18" s="71">
        <f t="shared" si="12"/>
        <v>1</v>
      </c>
      <c r="BE18" s="71">
        <f t="shared" si="13"/>
        <v>1</v>
      </c>
      <c r="BF18" s="72">
        <f t="shared" si="14"/>
        <v>0</v>
      </c>
      <c r="BG18" s="45"/>
      <c r="BH18" s="56">
        <f t="shared" si="15"/>
        <v>7.2916666666666657E-2</v>
      </c>
      <c r="BI18" s="67" t="str">
        <f t="shared" si="16"/>
        <v/>
      </c>
      <c r="BJ18" s="68" t="str">
        <f t="shared" si="17"/>
        <v/>
      </c>
      <c r="BK18" s="68" t="str">
        <f t="shared" si="18"/>
        <v/>
      </c>
      <c r="BL18" s="68" t="str">
        <f t="shared" si="19"/>
        <v/>
      </c>
      <c r="BM18" s="68">
        <f t="shared" si="20"/>
        <v>41.7</v>
      </c>
      <c r="BN18" s="68">
        <f t="shared" si="21"/>
        <v>47.4</v>
      </c>
      <c r="BO18" s="69" t="str">
        <f t="shared" si="22"/>
        <v/>
      </c>
      <c r="BP18" s="63"/>
      <c r="BQ18" s="64">
        <f t="shared" si="23"/>
        <v>7.2916666666666657E-2</v>
      </c>
      <c r="BR18" s="67" t="str">
        <f t="shared" si="24"/>
        <v/>
      </c>
      <c r="BS18" s="68" t="str">
        <f t="shared" si="25"/>
        <v/>
      </c>
      <c r="BT18" s="68" t="str">
        <f t="shared" si="26"/>
        <v/>
      </c>
      <c r="BU18" s="68" t="str">
        <f t="shared" si="27"/>
        <v/>
      </c>
      <c r="BV18" s="68" t="str">
        <f t="shared" si="28"/>
        <v/>
      </c>
      <c r="BW18" s="68" t="str">
        <f t="shared" si="29"/>
        <v/>
      </c>
      <c r="BX18" s="69" t="str">
        <f t="shared" si="30"/>
        <v/>
      </c>
      <c r="BY18" s="65"/>
      <c r="BZ18" s="66">
        <f t="shared" si="43"/>
        <v>44.55</v>
      </c>
      <c r="CA18" s="414" t="e">
        <f t="shared" si="31"/>
        <v>#N/A</v>
      </c>
      <c r="CB18" s="416">
        <f t="shared" si="48"/>
        <v>60</v>
      </c>
      <c r="CC18" s="65"/>
      <c r="CD18" s="67">
        <f t="shared" si="32"/>
        <v>0</v>
      </c>
      <c r="CE18" s="68">
        <f t="shared" si="33"/>
        <v>0</v>
      </c>
      <c r="CF18" s="68">
        <f t="shared" si="34"/>
        <v>0</v>
      </c>
      <c r="CG18" s="68">
        <f t="shared" si="35"/>
        <v>0</v>
      </c>
      <c r="CH18" s="68">
        <f t="shared" si="36"/>
        <v>0</v>
      </c>
      <c r="CI18" s="68">
        <f t="shared" si="37"/>
        <v>0</v>
      </c>
      <c r="CJ18" s="69">
        <f t="shared" si="38"/>
        <v>0</v>
      </c>
      <c r="CM18" s="67" t="str">
        <f t="shared" si="44"/>
        <v/>
      </c>
      <c r="CN18" s="68" t="str">
        <f t="shared" si="39"/>
        <v/>
      </c>
      <c r="CO18" s="68" t="str">
        <f t="shared" si="39"/>
        <v/>
      </c>
      <c r="CP18" s="68" t="str">
        <f t="shared" si="39"/>
        <v/>
      </c>
      <c r="CQ18" s="68">
        <f t="shared" si="39"/>
        <v>41.7</v>
      </c>
      <c r="CR18" s="68">
        <f t="shared" si="39"/>
        <v>47.4</v>
      </c>
      <c r="CS18" s="69" t="str">
        <f t="shared" si="39"/>
        <v/>
      </c>
      <c r="CU18" s="511">
        <f>SUM(SUMIF($AZ$8:$BF$8, {"NON";"NEUT"}, AZ18:BF18))/config!$AC$16</f>
        <v>0</v>
      </c>
      <c r="CV18" s="512">
        <f t="shared" si="45"/>
        <v>7.2916666666666657E-2</v>
      </c>
      <c r="CY18" s="67">
        <f>SUM(C22*$CY$108, C129*$CY$109, C236*$CY$110, C343*$CY$111, C450*$CY$112, C557*$CY$113, C664*$CY$114)/config!$AC$16</f>
        <v>0</v>
      </c>
      <c r="CZ18" s="68">
        <f>SUM(SUM(D22:E22)*$CY$108, SUM(D129:E129)*$CY$109, SUM(D236:E236)*$CY$110, SUM(D343:E343)*$CY$111, SUM(D450:E450)*$CY$112, SUM(D557:E557)*$CY$113, SUM(D664:E664)*$CY$114)/config!$AC$16</f>
        <v>0</v>
      </c>
      <c r="DA18" s="68">
        <f>SUM(SUM(F22:G22)*$CY$108, SUM(F129:G129)*$CY$109, SUM(F236:G236)*$CY$110, SUM(F343:G343)*$CY$111, SUM(F450:G450)*$CY$112, SUM(F557:G557)*$CY$113, SUM(F664:G664)*$CY$114)/config!$AC$16</f>
        <v>0</v>
      </c>
      <c r="DB18" s="68">
        <f>SUM(H22*$CY$108, H129*$CY$109, H236*$CY$110, H343*$CY$111, H450*$CY$112, H557*$CY$113, H664*$CY$114)/config!$AC$16</f>
        <v>0</v>
      </c>
      <c r="DC18" s="69">
        <f>SUM(SUM(I22:L22)*$CY$108, SUM(I129:L129)*$CY$109, SUM(I236:L236)*$CY$110, SUM(I343:L343)*$CY$111, SUM(I450:L450)*$CY$112, SUM(I557:L557)*$CY$113, SUM(I664:L664)*$CY$114)/config!$AC$16</f>
        <v>0</v>
      </c>
    </row>
    <row r="19" spans="1:107" ht="15" x14ac:dyDescent="0.25">
      <c r="A19" s="190" t="s">
        <v>39</v>
      </c>
      <c r="B19" s="642">
        <v>0</v>
      </c>
      <c r="C19" s="184">
        <v>0</v>
      </c>
      <c r="D19" s="184">
        <v>0</v>
      </c>
      <c r="E19" s="184">
        <v>0</v>
      </c>
      <c r="F19" s="184">
        <v>0</v>
      </c>
      <c r="G19" s="184">
        <v>0</v>
      </c>
      <c r="H19" s="184">
        <v>0</v>
      </c>
      <c r="I19" s="184">
        <v>0</v>
      </c>
      <c r="J19" s="184">
        <v>0</v>
      </c>
      <c r="K19" s="184">
        <v>0</v>
      </c>
      <c r="L19" s="184">
        <v>0</v>
      </c>
      <c r="M19" s="654" t="s">
        <v>24</v>
      </c>
      <c r="N19" s="669" t="s">
        <v>39</v>
      </c>
      <c r="O19" s="642">
        <v>0</v>
      </c>
      <c r="P19" s="184">
        <v>0</v>
      </c>
      <c r="Q19" s="184">
        <v>0</v>
      </c>
      <c r="R19" s="184">
        <v>0</v>
      </c>
      <c r="S19" s="184">
        <v>0</v>
      </c>
      <c r="T19" s="184">
        <v>0</v>
      </c>
      <c r="U19" s="184">
        <v>0</v>
      </c>
      <c r="V19" s="184">
        <v>0</v>
      </c>
      <c r="W19" s="184">
        <v>0</v>
      </c>
      <c r="X19" s="184">
        <v>0</v>
      </c>
      <c r="Y19" s="184">
        <v>0</v>
      </c>
      <c r="Z19" s="184">
        <v>0</v>
      </c>
      <c r="AA19" s="184">
        <v>0</v>
      </c>
      <c r="AB19" s="184">
        <v>0</v>
      </c>
      <c r="AC19" s="185" t="s">
        <v>24</v>
      </c>
      <c r="AD19" s="185" t="s">
        <v>24</v>
      </c>
      <c r="AE19" s="184">
        <v>0</v>
      </c>
      <c r="AF19" s="185">
        <v>0</v>
      </c>
      <c r="AG19" s="184">
        <v>0</v>
      </c>
      <c r="AH19" s="185">
        <v>0</v>
      </c>
      <c r="AI19" s="184">
        <v>0</v>
      </c>
      <c r="AJ19" s="643">
        <v>0</v>
      </c>
      <c r="AP19" s="401">
        <f t="shared" si="40"/>
        <v>0</v>
      </c>
      <c r="AR19" s="56">
        <f t="shared" si="41"/>
        <v>8.3333333333333329E-2</v>
      </c>
      <c r="AS19" s="67">
        <f>SUM(C23,C130,C237,C344,C451,C558,C665)/config!$AC$13</f>
        <v>0</v>
      </c>
      <c r="AT19" s="68">
        <f>SUM(D23:E23,D130:E130,D237:E237,D344:E344,D451:E451,D558:E558,D665:E665)/config!$AC$13</f>
        <v>0.14285714285714285</v>
      </c>
      <c r="AU19" s="68">
        <f>SUM(F23:G23,F130:G130,F237:G237,F344:G344,F451:G451,F558:G558,F665:G665)/config!$AC$13</f>
        <v>0</v>
      </c>
      <c r="AV19" s="68">
        <f>SUM(H23,H130,H237,H344,H451,H558,H665)/config!$AC$13</f>
        <v>0</v>
      </c>
      <c r="AW19" s="69">
        <f>SUM(I23:L23,I130:L130,I237:L237,I344:L344,I451:L451,I558:L558,I665:L665)/config!$AC$13</f>
        <v>0</v>
      </c>
      <c r="AY19" s="56">
        <f t="shared" si="42"/>
        <v>8.3333333333333329E-2</v>
      </c>
      <c r="AZ19" s="70">
        <f t="shared" si="8"/>
        <v>0</v>
      </c>
      <c r="BA19" s="71">
        <f t="shared" si="9"/>
        <v>0</v>
      </c>
      <c r="BB19" s="71">
        <f t="shared" si="10"/>
        <v>0</v>
      </c>
      <c r="BC19" s="71">
        <f t="shared" si="11"/>
        <v>0</v>
      </c>
      <c r="BD19" s="71">
        <f t="shared" si="12"/>
        <v>0</v>
      </c>
      <c r="BE19" s="71">
        <f t="shared" si="13"/>
        <v>1</v>
      </c>
      <c r="BF19" s="72">
        <f t="shared" si="14"/>
        <v>0</v>
      </c>
      <c r="BG19" s="45"/>
      <c r="BH19" s="56">
        <f t="shared" si="15"/>
        <v>8.3333333333333329E-2</v>
      </c>
      <c r="BI19" s="67" t="str">
        <f t="shared" si="16"/>
        <v/>
      </c>
      <c r="BJ19" s="68" t="str">
        <f t="shared" si="17"/>
        <v/>
      </c>
      <c r="BK19" s="68" t="str">
        <f t="shared" si="18"/>
        <v/>
      </c>
      <c r="BL19" s="68" t="str">
        <f t="shared" si="19"/>
        <v/>
      </c>
      <c r="BM19" s="68" t="str">
        <f t="shared" si="20"/>
        <v/>
      </c>
      <c r="BN19" s="68">
        <f t="shared" si="21"/>
        <v>36.799999999999997</v>
      </c>
      <c r="BO19" s="69" t="str">
        <f t="shared" si="22"/>
        <v/>
      </c>
      <c r="BP19" s="63"/>
      <c r="BQ19" s="64">
        <f t="shared" si="23"/>
        <v>8.3333333333333329E-2</v>
      </c>
      <c r="BR19" s="67" t="str">
        <f t="shared" si="24"/>
        <v/>
      </c>
      <c r="BS19" s="68" t="str">
        <f t="shared" si="25"/>
        <v/>
      </c>
      <c r="BT19" s="68" t="str">
        <f t="shared" si="26"/>
        <v/>
      </c>
      <c r="BU19" s="68" t="str">
        <f t="shared" si="27"/>
        <v/>
      </c>
      <c r="BV19" s="68" t="str">
        <f t="shared" si="28"/>
        <v/>
      </c>
      <c r="BW19" s="68" t="str">
        <f t="shared" si="29"/>
        <v/>
      </c>
      <c r="BX19" s="69" t="str">
        <f t="shared" si="30"/>
        <v/>
      </c>
      <c r="BY19" s="65"/>
      <c r="BZ19" s="66">
        <f t="shared" si="43"/>
        <v>36.799999999999997</v>
      </c>
      <c r="CA19" s="414" t="e">
        <f t="shared" si="31"/>
        <v>#N/A</v>
      </c>
      <c r="CB19" s="416">
        <f t="shared" si="48"/>
        <v>60</v>
      </c>
      <c r="CC19" s="65"/>
      <c r="CD19" s="67">
        <f t="shared" si="32"/>
        <v>0</v>
      </c>
      <c r="CE19" s="68">
        <f t="shared" si="33"/>
        <v>0</v>
      </c>
      <c r="CF19" s="68">
        <f t="shared" si="34"/>
        <v>0</v>
      </c>
      <c r="CG19" s="68">
        <f t="shared" si="35"/>
        <v>0</v>
      </c>
      <c r="CH19" s="68">
        <f t="shared" si="36"/>
        <v>0</v>
      </c>
      <c r="CI19" s="68">
        <f t="shared" si="37"/>
        <v>0</v>
      </c>
      <c r="CJ19" s="69">
        <f t="shared" si="38"/>
        <v>0</v>
      </c>
      <c r="CM19" s="67" t="str">
        <f t="shared" si="44"/>
        <v/>
      </c>
      <c r="CN19" s="68" t="str">
        <f t="shared" si="39"/>
        <v/>
      </c>
      <c r="CO19" s="68" t="str">
        <f t="shared" si="39"/>
        <v/>
      </c>
      <c r="CP19" s="68" t="str">
        <f t="shared" si="39"/>
        <v/>
      </c>
      <c r="CQ19" s="68" t="str">
        <f t="shared" si="39"/>
        <v/>
      </c>
      <c r="CR19" s="68">
        <f t="shared" si="39"/>
        <v>36.799999999999997</v>
      </c>
      <c r="CS19" s="69" t="str">
        <f t="shared" si="39"/>
        <v/>
      </c>
      <c r="CU19" s="511">
        <f>SUM(SUMIF($AZ$8:$BF$8, {"NON";"NEUT"}, AZ19:BF19))/config!$AC$16</f>
        <v>0</v>
      </c>
      <c r="CV19" s="512">
        <f t="shared" si="45"/>
        <v>8.3333333333333329E-2</v>
      </c>
      <c r="CY19" s="67">
        <f>SUM(C23*$CY$108, C130*$CY$109, C237*$CY$110, C344*$CY$111, C451*$CY$112, C558*$CY$113, C665*$CY$114)/config!$AC$16</f>
        <v>0</v>
      </c>
      <c r="CZ19" s="68">
        <f>SUM(SUM(D23:E23)*$CY$108, SUM(D130:E130)*$CY$109, SUM(D237:E237)*$CY$110, SUM(D344:E344)*$CY$111, SUM(D451:E451)*$CY$112, SUM(D558:E558)*$CY$113, SUM(D665:E665)*$CY$114)/config!$AC$16</f>
        <v>0</v>
      </c>
      <c r="DA19" s="68">
        <f>SUM(SUM(F23:G23)*$CY$108, SUM(F130:G130)*$CY$109, SUM(F237:G237)*$CY$110, SUM(F344:G344)*$CY$111, SUM(F451:G451)*$CY$112, SUM(F558:G558)*$CY$113, SUM(F665:G665)*$CY$114)/config!$AC$16</f>
        <v>0</v>
      </c>
      <c r="DB19" s="68">
        <f>SUM(H23*$CY$108, H130*$CY$109, H237*$CY$110, H344*$CY$111, H451*$CY$112, H558*$CY$113, H665*$CY$114)/config!$AC$16</f>
        <v>0</v>
      </c>
      <c r="DC19" s="69">
        <f>SUM(SUM(I23:L23)*$CY$108, SUM(I130:L130)*$CY$109, SUM(I237:L237)*$CY$110, SUM(I344:L344)*$CY$111, SUM(I451:L451)*$CY$112, SUM(I558:L558)*$CY$113, SUM(I665:L665)*$CY$114)/config!$AC$16</f>
        <v>0</v>
      </c>
    </row>
    <row r="20" spans="1:107" ht="15" x14ac:dyDescent="0.25">
      <c r="A20" s="190" t="s">
        <v>45</v>
      </c>
      <c r="B20" s="642">
        <v>0</v>
      </c>
      <c r="C20" s="184">
        <v>0</v>
      </c>
      <c r="D20" s="184">
        <v>0</v>
      </c>
      <c r="E20" s="184">
        <v>0</v>
      </c>
      <c r="F20" s="184">
        <v>0</v>
      </c>
      <c r="G20" s="184">
        <v>0</v>
      </c>
      <c r="H20" s="184">
        <v>0</v>
      </c>
      <c r="I20" s="184">
        <v>0</v>
      </c>
      <c r="J20" s="184">
        <v>0</v>
      </c>
      <c r="K20" s="184">
        <v>0</v>
      </c>
      <c r="L20" s="184">
        <v>0</v>
      </c>
      <c r="M20" s="654" t="s">
        <v>24</v>
      </c>
      <c r="N20" s="669" t="s">
        <v>45</v>
      </c>
      <c r="O20" s="642">
        <v>0</v>
      </c>
      <c r="P20" s="184">
        <v>0</v>
      </c>
      <c r="Q20" s="184">
        <v>0</v>
      </c>
      <c r="R20" s="184">
        <v>0</v>
      </c>
      <c r="S20" s="184">
        <v>0</v>
      </c>
      <c r="T20" s="184">
        <v>0</v>
      </c>
      <c r="U20" s="184">
        <v>0</v>
      </c>
      <c r="V20" s="184">
        <v>0</v>
      </c>
      <c r="W20" s="184">
        <v>0</v>
      </c>
      <c r="X20" s="184">
        <v>0</v>
      </c>
      <c r="Y20" s="184">
        <v>0</v>
      </c>
      <c r="Z20" s="184">
        <v>0</v>
      </c>
      <c r="AA20" s="184">
        <v>0</v>
      </c>
      <c r="AB20" s="184">
        <v>0</v>
      </c>
      <c r="AC20" s="185" t="s">
        <v>24</v>
      </c>
      <c r="AD20" s="185" t="s">
        <v>24</v>
      </c>
      <c r="AE20" s="184">
        <v>0</v>
      </c>
      <c r="AF20" s="185">
        <v>0</v>
      </c>
      <c r="AG20" s="184">
        <v>0</v>
      </c>
      <c r="AH20" s="185">
        <v>0</v>
      </c>
      <c r="AI20" s="184">
        <v>0</v>
      </c>
      <c r="AJ20" s="643">
        <v>0</v>
      </c>
      <c r="AP20" s="401">
        <f t="shared" si="40"/>
        <v>0</v>
      </c>
      <c r="AR20" s="56">
        <f t="shared" si="41"/>
        <v>9.375E-2</v>
      </c>
      <c r="AS20" s="67">
        <f>SUM(C24,C131,C238,C345,C452,C559,C666)/config!$AC$13</f>
        <v>0</v>
      </c>
      <c r="AT20" s="68">
        <f>SUM(D24:E24,D131:E131,D238:E238,D345:E345,D452:E452,D559:E559,D666:E666)/config!$AC$13</f>
        <v>0</v>
      </c>
      <c r="AU20" s="68">
        <f>SUM(F24:G24,F131:G131,F238:G238,F345:G345,F452:G452,F559:G559,F666:G666)/config!$AC$13</f>
        <v>0</v>
      </c>
      <c r="AV20" s="68">
        <f>SUM(H24,H131,H238,H345,H452,H559,H666)/config!$AC$13</f>
        <v>0</v>
      </c>
      <c r="AW20" s="69">
        <f>SUM(I24:L24,I131:L131,I238:L238,I345:L345,I452:L452,I559:L559,I666:L666)/config!$AC$13</f>
        <v>0</v>
      </c>
      <c r="AY20" s="56">
        <f t="shared" si="42"/>
        <v>9.375E-2</v>
      </c>
      <c r="AZ20" s="70">
        <f t="shared" si="8"/>
        <v>0</v>
      </c>
      <c r="BA20" s="71">
        <f t="shared" si="9"/>
        <v>0</v>
      </c>
      <c r="BB20" s="71">
        <f t="shared" si="10"/>
        <v>0</v>
      </c>
      <c r="BC20" s="71">
        <f t="shared" si="11"/>
        <v>0</v>
      </c>
      <c r="BD20" s="71">
        <f t="shared" si="12"/>
        <v>0</v>
      </c>
      <c r="BE20" s="71">
        <f t="shared" si="13"/>
        <v>0</v>
      </c>
      <c r="BF20" s="72">
        <f t="shared" si="14"/>
        <v>0</v>
      </c>
      <c r="BG20" s="45"/>
      <c r="BH20" s="56">
        <f t="shared" si="15"/>
        <v>9.375E-2</v>
      </c>
      <c r="BI20" s="67" t="str">
        <f t="shared" si="16"/>
        <v/>
      </c>
      <c r="BJ20" s="68" t="str">
        <f t="shared" si="17"/>
        <v/>
      </c>
      <c r="BK20" s="68" t="str">
        <f t="shared" si="18"/>
        <v/>
      </c>
      <c r="BL20" s="68" t="str">
        <f t="shared" si="19"/>
        <v/>
      </c>
      <c r="BM20" s="68" t="str">
        <f t="shared" si="20"/>
        <v/>
      </c>
      <c r="BN20" s="68" t="str">
        <f t="shared" si="21"/>
        <v/>
      </c>
      <c r="BO20" s="69" t="str">
        <f t="shared" si="22"/>
        <v/>
      </c>
      <c r="BP20" s="63"/>
      <c r="BQ20" s="64">
        <f t="shared" si="23"/>
        <v>9.375E-2</v>
      </c>
      <c r="BR20" s="67" t="str">
        <f t="shared" si="24"/>
        <v/>
      </c>
      <c r="BS20" s="68" t="str">
        <f t="shared" si="25"/>
        <v/>
      </c>
      <c r="BT20" s="68" t="str">
        <f t="shared" si="26"/>
        <v/>
      </c>
      <c r="BU20" s="68" t="str">
        <f t="shared" si="27"/>
        <v/>
      </c>
      <c r="BV20" s="68" t="str">
        <f t="shared" si="28"/>
        <v/>
      </c>
      <c r="BW20" s="68" t="str">
        <f t="shared" si="29"/>
        <v/>
      </c>
      <c r="BX20" s="69" t="str">
        <f t="shared" si="30"/>
        <v/>
      </c>
      <c r="BY20" s="65"/>
      <c r="BZ20" s="66" t="e">
        <f t="shared" si="43"/>
        <v>#N/A</v>
      </c>
      <c r="CA20" s="414" t="e">
        <f t="shared" si="31"/>
        <v>#N/A</v>
      </c>
      <c r="CB20" s="416">
        <f t="shared" si="48"/>
        <v>60</v>
      </c>
      <c r="CC20" s="65"/>
      <c r="CD20" s="67">
        <f t="shared" si="32"/>
        <v>0</v>
      </c>
      <c r="CE20" s="68">
        <f t="shared" si="33"/>
        <v>0</v>
      </c>
      <c r="CF20" s="68">
        <f t="shared" si="34"/>
        <v>0</v>
      </c>
      <c r="CG20" s="68">
        <f t="shared" si="35"/>
        <v>0</v>
      </c>
      <c r="CH20" s="68">
        <f t="shared" si="36"/>
        <v>0</v>
      </c>
      <c r="CI20" s="68">
        <f t="shared" si="37"/>
        <v>0</v>
      </c>
      <c r="CJ20" s="69">
        <f t="shared" si="38"/>
        <v>0</v>
      </c>
      <c r="CM20" s="67" t="str">
        <f t="shared" si="44"/>
        <v/>
      </c>
      <c r="CN20" s="68" t="str">
        <f t="shared" si="39"/>
        <v/>
      </c>
      <c r="CO20" s="68" t="str">
        <f t="shared" si="39"/>
        <v/>
      </c>
      <c r="CP20" s="68" t="str">
        <f t="shared" si="39"/>
        <v/>
      </c>
      <c r="CQ20" s="68" t="str">
        <f t="shared" si="39"/>
        <v/>
      </c>
      <c r="CR20" s="68" t="str">
        <f t="shared" si="39"/>
        <v/>
      </c>
      <c r="CS20" s="69" t="str">
        <f t="shared" si="39"/>
        <v/>
      </c>
      <c r="CU20" s="511">
        <f>SUM(SUMIF($AZ$8:$BF$8, {"NON";"NEUT"}, AZ20:BF20))/config!$AC$16</f>
        <v>0</v>
      </c>
      <c r="CV20" s="512">
        <f t="shared" si="45"/>
        <v>9.375E-2</v>
      </c>
      <c r="CY20" s="67">
        <f>SUM(C24*$CY$108, C131*$CY$109, C238*$CY$110, C345*$CY$111, C452*$CY$112, C559*$CY$113, C666*$CY$114)/config!$AC$16</f>
        <v>0</v>
      </c>
      <c r="CZ20" s="68">
        <f>SUM(SUM(D24:E24)*$CY$108, SUM(D131:E131)*$CY$109, SUM(D238:E238)*$CY$110, SUM(D345:E345)*$CY$111, SUM(D452:E452)*$CY$112, SUM(D559:E559)*$CY$113, SUM(D666:E666)*$CY$114)/config!$AC$16</f>
        <v>0</v>
      </c>
      <c r="DA20" s="68">
        <f>SUM(SUM(F24:G24)*$CY$108, SUM(F131:G131)*$CY$109, SUM(F238:G238)*$CY$110, SUM(F345:G345)*$CY$111, SUM(F452:G452)*$CY$112, SUM(F559:G559)*$CY$113, SUM(F666:G666)*$CY$114)/config!$AC$16</f>
        <v>0</v>
      </c>
      <c r="DB20" s="68">
        <f>SUM(H24*$CY$108, H131*$CY$109, H238*$CY$110, H345*$CY$111, H452*$CY$112, H559*$CY$113, H666*$CY$114)/config!$AC$16</f>
        <v>0</v>
      </c>
      <c r="DC20" s="69">
        <f>SUM(SUM(I24:L24)*$CY$108, SUM(I131:L131)*$CY$109, SUM(I238:L238)*$CY$110, SUM(I345:L345)*$CY$111, SUM(I452:L452)*$CY$112, SUM(I559:L559)*$CY$113, SUM(I666:L666)*$CY$114)/config!$AC$16</f>
        <v>0</v>
      </c>
    </row>
    <row r="21" spans="1:107" ht="15" x14ac:dyDescent="0.25">
      <c r="A21" s="190" t="s">
        <v>47</v>
      </c>
      <c r="B21" s="642">
        <v>0</v>
      </c>
      <c r="C21" s="184">
        <v>0</v>
      </c>
      <c r="D21" s="184">
        <v>0</v>
      </c>
      <c r="E21" s="184">
        <v>0</v>
      </c>
      <c r="F21" s="184">
        <v>0</v>
      </c>
      <c r="G21" s="184">
        <v>0</v>
      </c>
      <c r="H21" s="184">
        <v>0</v>
      </c>
      <c r="I21" s="184">
        <v>0</v>
      </c>
      <c r="J21" s="184">
        <v>0</v>
      </c>
      <c r="K21" s="184">
        <v>0</v>
      </c>
      <c r="L21" s="184">
        <v>0</v>
      </c>
      <c r="M21" s="654" t="s">
        <v>24</v>
      </c>
      <c r="N21" s="669" t="s">
        <v>47</v>
      </c>
      <c r="O21" s="642">
        <v>0</v>
      </c>
      <c r="P21" s="184">
        <v>0</v>
      </c>
      <c r="Q21" s="184">
        <v>0</v>
      </c>
      <c r="R21" s="184">
        <v>0</v>
      </c>
      <c r="S21" s="184">
        <v>0</v>
      </c>
      <c r="T21" s="184">
        <v>0</v>
      </c>
      <c r="U21" s="184">
        <v>0</v>
      </c>
      <c r="V21" s="184">
        <v>0</v>
      </c>
      <c r="W21" s="184">
        <v>0</v>
      </c>
      <c r="X21" s="184">
        <v>0</v>
      </c>
      <c r="Y21" s="184">
        <v>0</v>
      </c>
      <c r="Z21" s="184">
        <v>0</v>
      </c>
      <c r="AA21" s="184">
        <v>0</v>
      </c>
      <c r="AB21" s="184">
        <v>0</v>
      </c>
      <c r="AC21" s="185" t="s">
        <v>24</v>
      </c>
      <c r="AD21" s="185" t="s">
        <v>24</v>
      </c>
      <c r="AE21" s="184">
        <v>0</v>
      </c>
      <c r="AF21" s="185">
        <v>0</v>
      </c>
      <c r="AG21" s="184">
        <v>0</v>
      </c>
      <c r="AH21" s="185">
        <v>0</v>
      </c>
      <c r="AI21" s="184">
        <v>0</v>
      </c>
      <c r="AJ21" s="643">
        <v>0</v>
      </c>
      <c r="AP21" s="401">
        <f t="shared" si="40"/>
        <v>0</v>
      </c>
      <c r="AR21" s="56">
        <f t="shared" si="41"/>
        <v>0.10416666666666667</v>
      </c>
      <c r="AS21" s="67">
        <f>SUM(C25,C132,C239,C346,C453,C560,C667)/config!$AC$13</f>
        <v>0</v>
      </c>
      <c r="AT21" s="68">
        <f>SUM(D25:E25,D132:E132,D239:E239,D346:E346,D453:E453,D560:E560,D667:E667)/config!$AC$13</f>
        <v>0.42857142857142855</v>
      </c>
      <c r="AU21" s="68">
        <f>SUM(F25:G25,F132:G132,F239:G239,F346:G346,F453:G453,F560:G560,F667:G667)/config!$AC$13</f>
        <v>0</v>
      </c>
      <c r="AV21" s="68">
        <f>SUM(H25,H132,H239,H346,H453,H560,H667)/config!$AC$13</f>
        <v>0</v>
      </c>
      <c r="AW21" s="69">
        <f>SUM(I25:L25,I132:L132,I239:L239,I346:L346,I453:L453,I560:L560,I667:L667)/config!$AC$13</f>
        <v>0</v>
      </c>
      <c r="AY21" s="56">
        <f t="shared" si="42"/>
        <v>0.10416666666666667</v>
      </c>
      <c r="AZ21" s="70">
        <f t="shared" si="8"/>
        <v>0</v>
      </c>
      <c r="BA21" s="71">
        <f t="shared" si="9"/>
        <v>1</v>
      </c>
      <c r="BB21" s="71">
        <f t="shared" si="10"/>
        <v>0</v>
      </c>
      <c r="BC21" s="71">
        <f t="shared" si="11"/>
        <v>1</v>
      </c>
      <c r="BD21" s="71">
        <f t="shared" si="12"/>
        <v>1</v>
      </c>
      <c r="BE21" s="71">
        <f t="shared" si="13"/>
        <v>0</v>
      </c>
      <c r="BF21" s="72">
        <f t="shared" si="14"/>
        <v>0</v>
      </c>
      <c r="BG21" s="45"/>
      <c r="BH21" s="56">
        <f t="shared" si="15"/>
        <v>0.10416666666666667</v>
      </c>
      <c r="BI21" s="67" t="str">
        <f t="shared" si="16"/>
        <v/>
      </c>
      <c r="BJ21" s="68">
        <f t="shared" si="17"/>
        <v>51.3</v>
      </c>
      <c r="BK21" s="68" t="str">
        <f t="shared" si="18"/>
        <v/>
      </c>
      <c r="BL21" s="68">
        <f t="shared" si="19"/>
        <v>38.5</v>
      </c>
      <c r="BM21" s="68">
        <f t="shared" si="20"/>
        <v>40.6</v>
      </c>
      <c r="BN21" s="68" t="str">
        <f t="shared" si="21"/>
        <v/>
      </c>
      <c r="BO21" s="69" t="str">
        <f t="shared" si="22"/>
        <v/>
      </c>
      <c r="BP21" s="63"/>
      <c r="BQ21" s="64">
        <f t="shared" si="23"/>
        <v>0.10416666666666667</v>
      </c>
      <c r="BR21" s="67" t="str">
        <f t="shared" si="24"/>
        <v/>
      </c>
      <c r="BS21" s="68" t="str">
        <f t="shared" si="25"/>
        <v/>
      </c>
      <c r="BT21" s="68" t="str">
        <f t="shared" si="26"/>
        <v/>
      </c>
      <c r="BU21" s="68" t="str">
        <f t="shared" si="27"/>
        <v/>
      </c>
      <c r="BV21" s="68" t="str">
        <f t="shared" si="28"/>
        <v/>
      </c>
      <c r="BW21" s="68" t="str">
        <f t="shared" si="29"/>
        <v/>
      </c>
      <c r="BX21" s="69" t="str">
        <f t="shared" si="30"/>
        <v/>
      </c>
      <c r="BY21" s="65"/>
      <c r="BZ21" s="66">
        <f t="shared" si="43"/>
        <v>43.466666666666669</v>
      </c>
      <c r="CA21" s="414" t="e">
        <f t="shared" si="31"/>
        <v>#N/A</v>
      </c>
      <c r="CB21" s="416">
        <f t="shared" si="48"/>
        <v>60</v>
      </c>
      <c r="CC21" s="65"/>
      <c r="CD21" s="67">
        <f t="shared" si="32"/>
        <v>0</v>
      </c>
      <c r="CE21" s="68">
        <f t="shared" si="33"/>
        <v>0</v>
      </c>
      <c r="CF21" s="68">
        <f t="shared" si="34"/>
        <v>0</v>
      </c>
      <c r="CG21" s="68">
        <f t="shared" si="35"/>
        <v>0</v>
      </c>
      <c r="CH21" s="68">
        <f t="shared" si="36"/>
        <v>0</v>
      </c>
      <c r="CI21" s="68">
        <f t="shared" si="37"/>
        <v>0</v>
      </c>
      <c r="CJ21" s="69">
        <f t="shared" si="38"/>
        <v>0</v>
      </c>
      <c r="CM21" s="67" t="str">
        <f t="shared" si="44"/>
        <v/>
      </c>
      <c r="CN21" s="68">
        <f t="shared" si="39"/>
        <v>51.3</v>
      </c>
      <c r="CO21" s="68" t="str">
        <f t="shared" si="39"/>
        <v/>
      </c>
      <c r="CP21" s="68">
        <f t="shared" si="39"/>
        <v>38.5</v>
      </c>
      <c r="CQ21" s="68">
        <f t="shared" si="39"/>
        <v>40.6</v>
      </c>
      <c r="CR21" s="68" t="str">
        <f t="shared" si="39"/>
        <v/>
      </c>
      <c r="CS21" s="69" t="str">
        <f t="shared" si="39"/>
        <v/>
      </c>
      <c r="CU21" s="511">
        <f>SUM(SUMIF($AZ$8:$BF$8, {"NON";"NEUT"}, AZ21:BF21))/config!$AC$16</f>
        <v>0.4</v>
      </c>
      <c r="CV21" s="512">
        <f t="shared" si="45"/>
        <v>0.10416666666666667</v>
      </c>
      <c r="CY21" s="67">
        <f>SUM(C25*$CY$108, C132*$CY$109, C239*$CY$110, C346*$CY$111, C453*$CY$112, C560*$CY$113, C667*$CY$114)/config!$AC$16</f>
        <v>0</v>
      </c>
      <c r="CZ21" s="68">
        <f>SUM(SUM(D25:E25)*$CY$108, SUM(D132:E132)*$CY$109, SUM(D239:E239)*$CY$110, SUM(D346:E346)*$CY$111, SUM(D453:E453)*$CY$112, SUM(D560:E560)*$CY$113, SUM(D667:E667)*$CY$114)/config!$AC$16</f>
        <v>0.4</v>
      </c>
      <c r="DA21" s="68">
        <f>SUM(SUM(F25:G25)*$CY$108, SUM(F132:G132)*$CY$109, SUM(F239:G239)*$CY$110, SUM(F346:G346)*$CY$111, SUM(F453:G453)*$CY$112, SUM(F560:G560)*$CY$113, SUM(F667:G667)*$CY$114)/config!$AC$16</f>
        <v>0</v>
      </c>
      <c r="DB21" s="68">
        <f>SUM(H25*$CY$108, H132*$CY$109, H239*$CY$110, H346*$CY$111, H453*$CY$112, H560*$CY$113, H667*$CY$114)/config!$AC$16</f>
        <v>0</v>
      </c>
      <c r="DC21" s="69">
        <f>SUM(SUM(I25:L25)*$CY$108, SUM(I132:L132)*$CY$109, SUM(I239:L239)*$CY$110, SUM(I346:L346)*$CY$111, SUM(I453:L453)*$CY$112, SUM(I560:L560)*$CY$113, SUM(I667:L667)*$CY$114)/config!$AC$16</f>
        <v>0</v>
      </c>
    </row>
    <row r="22" spans="1:107" ht="15" x14ac:dyDescent="0.25">
      <c r="A22" s="190" t="s">
        <v>49</v>
      </c>
      <c r="B22" s="642">
        <v>0</v>
      </c>
      <c r="C22" s="184">
        <v>0</v>
      </c>
      <c r="D22" s="184">
        <v>0</v>
      </c>
      <c r="E22" s="184">
        <v>0</v>
      </c>
      <c r="F22" s="184">
        <v>0</v>
      </c>
      <c r="G22" s="184">
        <v>0</v>
      </c>
      <c r="H22" s="184">
        <v>0</v>
      </c>
      <c r="I22" s="184">
        <v>0</v>
      </c>
      <c r="J22" s="184">
        <v>0</v>
      </c>
      <c r="K22" s="184">
        <v>0</v>
      </c>
      <c r="L22" s="184">
        <v>0</v>
      </c>
      <c r="M22" s="654" t="s">
        <v>24</v>
      </c>
      <c r="N22" s="669" t="s">
        <v>49</v>
      </c>
      <c r="O22" s="642">
        <v>0</v>
      </c>
      <c r="P22" s="184">
        <v>0</v>
      </c>
      <c r="Q22" s="184">
        <v>0</v>
      </c>
      <c r="R22" s="184">
        <v>0</v>
      </c>
      <c r="S22" s="184">
        <v>0</v>
      </c>
      <c r="T22" s="184">
        <v>0</v>
      </c>
      <c r="U22" s="184">
        <v>0</v>
      </c>
      <c r="V22" s="184">
        <v>0</v>
      </c>
      <c r="W22" s="184">
        <v>0</v>
      </c>
      <c r="X22" s="184">
        <v>0</v>
      </c>
      <c r="Y22" s="184">
        <v>0</v>
      </c>
      <c r="Z22" s="184">
        <v>0</v>
      </c>
      <c r="AA22" s="184">
        <v>0</v>
      </c>
      <c r="AB22" s="184">
        <v>0</v>
      </c>
      <c r="AC22" s="185" t="s">
        <v>24</v>
      </c>
      <c r="AD22" s="185" t="s">
        <v>24</v>
      </c>
      <c r="AE22" s="184">
        <v>0</v>
      </c>
      <c r="AF22" s="185">
        <v>0</v>
      </c>
      <c r="AG22" s="184">
        <v>0</v>
      </c>
      <c r="AH22" s="185">
        <v>0</v>
      </c>
      <c r="AI22" s="184">
        <v>0</v>
      </c>
      <c r="AJ22" s="643">
        <v>0</v>
      </c>
      <c r="AP22" s="401">
        <f t="shared" si="40"/>
        <v>0</v>
      </c>
      <c r="AR22" s="56">
        <f t="shared" si="41"/>
        <v>0.11458333333333334</v>
      </c>
      <c r="AS22" s="67">
        <f>SUM(C26,C133,C240,C347,C454,C561,C668)/config!$AC$13</f>
        <v>0</v>
      </c>
      <c r="AT22" s="68">
        <f>SUM(D26:E26,D133:E133,D240:E240,D347:E347,D454:E454,D561:E561,D668:E668)/config!$AC$13</f>
        <v>0</v>
      </c>
      <c r="AU22" s="68">
        <f>SUM(F26:G26,F133:G133,F240:G240,F347:G347,F454:G454,F561:G561,F668:G668)/config!$AC$13</f>
        <v>0</v>
      </c>
      <c r="AV22" s="68">
        <f>SUM(H26,H133,H240,H347,H454,H561,H668)/config!$AC$13</f>
        <v>0</v>
      </c>
      <c r="AW22" s="69">
        <f>SUM(I26:L26,I133:L133,I240:L240,I347:L347,I454:L454,I561:L561,I668:L668)/config!$AC$13</f>
        <v>0</v>
      </c>
      <c r="AY22" s="56">
        <f t="shared" si="42"/>
        <v>0.11458333333333334</v>
      </c>
      <c r="AZ22" s="70">
        <f t="shared" si="8"/>
        <v>0</v>
      </c>
      <c r="BA22" s="71">
        <f t="shared" si="9"/>
        <v>0</v>
      </c>
      <c r="BB22" s="71">
        <f t="shared" si="10"/>
        <v>0</v>
      </c>
      <c r="BC22" s="71">
        <f t="shared" si="11"/>
        <v>0</v>
      </c>
      <c r="BD22" s="71">
        <f t="shared" si="12"/>
        <v>0</v>
      </c>
      <c r="BE22" s="71">
        <f t="shared" si="13"/>
        <v>0</v>
      </c>
      <c r="BF22" s="72">
        <f t="shared" si="14"/>
        <v>0</v>
      </c>
      <c r="BG22" s="45"/>
      <c r="BH22" s="56">
        <f t="shared" si="15"/>
        <v>0.11458333333333334</v>
      </c>
      <c r="BI22" s="67" t="str">
        <f t="shared" si="16"/>
        <v/>
      </c>
      <c r="BJ22" s="68" t="str">
        <f t="shared" si="17"/>
        <v/>
      </c>
      <c r="BK22" s="68" t="str">
        <f t="shared" si="18"/>
        <v/>
      </c>
      <c r="BL22" s="68" t="str">
        <f t="shared" si="19"/>
        <v/>
      </c>
      <c r="BM22" s="68" t="str">
        <f t="shared" si="20"/>
        <v/>
      </c>
      <c r="BN22" s="68" t="str">
        <f t="shared" si="21"/>
        <v/>
      </c>
      <c r="BO22" s="69" t="str">
        <f t="shared" si="22"/>
        <v/>
      </c>
      <c r="BP22" s="63"/>
      <c r="BQ22" s="64">
        <f t="shared" si="23"/>
        <v>0.11458333333333334</v>
      </c>
      <c r="BR22" s="67" t="str">
        <f t="shared" si="24"/>
        <v/>
      </c>
      <c r="BS22" s="68" t="str">
        <f t="shared" si="25"/>
        <v/>
      </c>
      <c r="BT22" s="68" t="str">
        <f t="shared" si="26"/>
        <v/>
      </c>
      <c r="BU22" s="68" t="str">
        <f t="shared" si="27"/>
        <v/>
      </c>
      <c r="BV22" s="68" t="str">
        <f t="shared" si="28"/>
        <v/>
      </c>
      <c r="BW22" s="68" t="str">
        <f t="shared" si="29"/>
        <v/>
      </c>
      <c r="BX22" s="69" t="str">
        <f t="shared" si="30"/>
        <v/>
      </c>
      <c r="BY22" s="65"/>
      <c r="BZ22" s="66" t="e">
        <f t="shared" si="43"/>
        <v>#N/A</v>
      </c>
      <c r="CA22" s="414" t="e">
        <f t="shared" si="31"/>
        <v>#N/A</v>
      </c>
      <c r="CB22" s="416">
        <f t="shared" si="48"/>
        <v>60</v>
      </c>
      <c r="CC22" s="65"/>
      <c r="CD22" s="67">
        <f t="shared" si="32"/>
        <v>0</v>
      </c>
      <c r="CE22" s="68">
        <f t="shared" si="33"/>
        <v>0</v>
      </c>
      <c r="CF22" s="68">
        <f t="shared" si="34"/>
        <v>0</v>
      </c>
      <c r="CG22" s="68">
        <f t="shared" si="35"/>
        <v>0</v>
      </c>
      <c r="CH22" s="68">
        <f t="shared" si="36"/>
        <v>0</v>
      </c>
      <c r="CI22" s="68">
        <f t="shared" si="37"/>
        <v>0</v>
      </c>
      <c r="CJ22" s="69">
        <f t="shared" si="38"/>
        <v>0</v>
      </c>
      <c r="CM22" s="67" t="str">
        <f t="shared" si="44"/>
        <v/>
      </c>
      <c r="CN22" s="68" t="str">
        <f t="shared" si="39"/>
        <v/>
      </c>
      <c r="CO22" s="68" t="str">
        <f t="shared" si="39"/>
        <v/>
      </c>
      <c r="CP22" s="68" t="str">
        <f t="shared" si="39"/>
        <v/>
      </c>
      <c r="CQ22" s="68" t="str">
        <f t="shared" si="39"/>
        <v/>
      </c>
      <c r="CR22" s="68" t="str">
        <f t="shared" si="39"/>
        <v/>
      </c>
      <c r="CS22" s="69" t="str">
        <f t="shared" si="39"/>
        <v/>
      </c>
      <c r="CU22" s="511">
        <f>SUM(SUMIF($AZ$8:$BF$8, {"NON";"NEUT"}, AZ22:BF22))/config!$AC$16</f>
        <v>0</v>
      </c>
      <c r="CV22" s="512">
        <f t="shared" si="45"/>
        <v>0.11458333333333334</v>
      </c>
      <c r="CY22" s="67">
        <f>SUM(C26*$CY$108, C133*$CY$109, C240*$CY$110, C347*$CY$111, C454*$CY$112, C561*$CY$113, C668*$CY$114)/config!$AC$16</f>
        <v>0</v>
      </c>
      <c r="CZ22" s="68">
        <f>SUM(SUM(D26:E26)*$CY$108, SUM(D133:E133)*$CY$109, SUM(D240:E240)*$CY$110, SUM(D347:E347)*$CY$111, SUM(D454:E454)*$CY$112, SUM(D561:E561)*$CY$113, SUM(D668:E668)*$CY$114)/config!$AC$16</f>
        <v>0</v>
      </c>
      <c r="DA22" s="68">
        <f>SUM(SUM(F26:G26)*$CY$108, SUM(F133:G133)*$CY$109, SUM(F240:G240)*$CY$110, SUM(F347:G347)*$CY$111, SUM(F454:G454)*$CY$112, SUM(F561:G561)*$CY$113, SUM(F668:G668)*$CY$114)/config!$AC$16</f>
        <v>0</v>
      </c>
      <c r="DB22" s="68">
        <f>SUM(H26*$CY$108, H133*$CY$109, H240*$CY$110, H347*$CY$111, H454*$CY$112, H561*$CY$113, H668*$CY$114)/config!$AC$16</f>
        <v>0</v>
      </c>
      <c r="DC22" s="69">
        <f>SUM(SUM(I26:L26)*$CY$108, SUM(I133:L133)*$CY$109, SUM(I240:L240)*$CY$110, SUM(I347:L347)*$CY$111, SUM(I454:L454)*$CY$112, SUM(I561:L561)*$CY$113, SUM(I668:L668)*$CY$114)/config!$AC$16</f>
        <v>0</v>
      </c>
    </row>
    <row r="23" spans="1:107" ht="15" x14ac:dyDescent="0.25">
      <c r="A23" s="190" t="s">
        <v>41</v>
      </c>
      <c r="B23" s="642">
        <v>0</v>
      </c>
      <c r="C23" s="184">
        <v>0</v>
      </c>
      <c r="D23" s="184">
        <v>0</v>
      </c>
      <c r="E23" s="184">
        <v>0</v>
      </c>
      <c r="F23" s="184">
        <v>0</v>
      </c>
      <c r="G23" s="184">
        <v>0</v>
      </c>
      <c r="H23" s="184">
        <v>0</v>
      </c>
      <c r="I23" s="184">
        <v>0</v>
      </c>
      <c r="J23" s="184">
        <v>0</v>
      </c>
      <c r="K23" s="184">
        <v>0</v>
      </c>
      <c r="L23" s="184">
        <v>0</v>
      </c>
      <c r="M23" s="654" t="s">
        <v>24</v>
      </c>
      <c r="N23" s="669" t="s">
        <v>41</v>
      </c>
      <c r="O23" s="642">
        <v>0</v>
      </c>
      <c r="P23" s="184">
        <v>0</v>
      </c>
      <c r="Q23" s="184">
        <v>0</v>
      </c>
      <c r="R23" s="184">
        <v>0</v>
      </c>
      <c r="S23" s="184">
        <v>0</v>
      </c>
      <c r="T23" s="184">
        <v>0</v>
      </c>
      <c r="U23" s="184">
        <v>0</v>
      </c>
      <c r="V23" s="184">
        <v>0</v>
      </c>
      <c r="W23" s="184">
        <v>0</v>
      </c>
      <c r="X23" s="184">
        <v>0</v>
      </c>
      <c r="Y23" s="184">
        <v>0</v>
      </c>
      <c r="Z23" s="184">
        <v>0</v>
      </c>
      <c r="AA23" s="184">
        <v>0</v>
      </c>
      <c r="AB23" s="184">
        <v>0</v>
      </c>
      <c r="AC23" s="185" t="s">
        <v>24</v>
      </c>
      <c r="AD23" s="185" t="s">
        <v>24</v>
      </c>
      <c r="AE23" s="184">
        <v>0</v>
      </c>
      <c r="AF23" s="185">
        <v>0</v>
      </c>
      <c r="AG23" s="184">
        <v>0</v>
      </c>
      <c r="AH23" s="185">
        <v>0</v>
      </c>
      <c r="AI23" s="184">
        <v>0</v>
      </c>
      <c r="AJ23" s="643">
        <v>0</v>
      </c>
      <c r="AP23" s="401">
        <f t="shared" si="40"/>
        <v>0</v>
      </c>
      <c r="AR23" s="56">
        <f t="shared" si="41"/>
        <v>0.125</v>
      </c>
      <c r="AS23" s="67">
        <f>SUM(C27,C134,C241,C348,C455,C562,C669)/config!$AC$13</f>
        <v>0</v>
      </c>
      <c r="AT23" s="68">
        <f>SUM(D27:E27,D134:E134,D241:E241,D348:E348,D455:E455,D562:E562,D669:E669)/config!$AC$13</f>
        <v>0</v>
      </c>
      <c r="AU23" s="68">
        <f>SUM(F27:G27,F134:G134,F241:G241,F348:G348,F455:G455,F562:G562,F669:G669)/config!$AC$13</f>
        <v>0</v>
      </c>
      <c r="AV23" s="68">
        <f>SUM(H27,H134,H241,H348,H455,H562,H669)/config!$AC$13</f>
        <v>0</v>
      </c>
      <c r="AW23" s="69">
        <f>SUM(I27:L27,I134:L134,I241:L241,I348:L348,I455:L455,I562:L562,I669:L669)/config!$AC$13</f>
        <v>0</v>
      </c>
      <c r="AY23" s="56">
        <f t="shared" si="42"/>
        <v>0.125</v>
      </c>
      <c r="AZ23" s="70">
        <f t="shared" si="8"/>
        <v>0</v>
      </c>
      <c r="BA23" s="71">
        <f t="shared" si="9"/>
        <v>0</v>
      </c>
      <c r="BB23" s="71">
        <f t="shared" si="10"/>
        <v>0</v>
      </c>
      <c r="BC23" s="71">
        <f t="shared" si="11"/>
        <v>0</v>
      </c>
      <c r="BD23" s="71">
        <f t="shared" si="12"/>
        <v>0</v>
      </c>
      <c r="BE23" s="71">
        <f t="shared" si="13"/>
        <v>0</v>
      </c>
      <c r="BF23" s="72">
        <f t="shared" si="14"/>
        <v>0</v>
      </c>
      <c r="BG23" s="45"/>
      <c r="BH23" s="56">
        <f t="shared" si="15"/>
        <v>0.125</v>
      </c>
      <c r="BI23" s="67" t="str">
        <f t="shared" si="16"/>
        <v/>
      </c>
      <c r="BJ23" s="68" t="str">
        <f t="shared" si="17"/>
        <v/>
      </c>
      <c r="BK23" s="68" t="str">
        <f t="shared" si="18"/>
        <v/>
      </c>
      <c r="BL23" s="68" t="str">
        <f t="shared" si="19"/>
        <v/>
      </c>
      <c r="BM23" s="68" t="str">
        <f t="shared" si="20"/>
        <v/>
      </c>
      <c r="BN23" s="68" t="str">
        <f t="shared" si="21"/>
        <v/>
      </c>
      <c r="BO23" s="69" t="str">
        <f t="shared" si="22"/>
        <v/>
      </c>
      <c r="BP23" s="63"/>
      <c r="BQ23" s="64">
        <f t="shared" si="23"/>
        <v>0.125</v>
      </c>
      <c r="BR23" s="67" t="str">
        <f t="shared" si="24"/>
        <v/>
      </c>
      <c r="BS23" s="68" t="str">
        <f t="shared" si="25"/>
        <v/>
      </c>
      <c r="BT23" s="68" t="str">
        <f t="shared" si="26"/>
        <v/>
      </c>
      <c r="BU23" s="68" t="str">
        <f t="shared" si="27"/>
        <v/>
      </c>
      <c r="BV23" s="68" t="str">
        <f t="shared" si="28"/>
        <v/>
      </c>
      <c r="BW23" s="68" t="str">
        <f t="shared" si="29"/>
        <v/>
      </c>
      <c r="BX23" s="69" t="str">
        <f t="shared" si="30"/>
        <v/>
      </c>
      <c r="BY23" s="65"/>
      <c r="BZ23" s="66" t="e">
        <f t="shared" si="43"/>
        <v>#N/A</v>
      </c>
      <c r="CA23" s="414" t="e">
        <f t="shared" si="31"/>
        <v>#N/A</v>
      </c>
      <c r="CB23" s="416">
        <f t="shared" si="48"/>
        <v>60</v>
      </c>
      <c r="CC23" s="65"/>
      <c r="CD23" s="67">
        <f t="shared" si="32"/>
        <v>0</v>
      </c>
      <c r="CE23" s="68">
        <f t="shared" si="33"/>
        <v>0</v>
      </c>
      <c r="CF23" s="68">
        <f t="shared" si="34"/>
        <v>0</v>
      </c>
      <c r="CG23" s="68">
        <f t="shared" si="35"/>
        <v>0</v>
      </c>
      <c r="CH23" s="68">
        <f t="shared" si="36"/>
        <v>0</v>
      </c>
      <c r="CI23" s="68">
        <f t="shared" si="37"/>
        <v>0</v>
      </c>
      <c r="CJ23" s="69">
        <f t="shared" si="38"/>
        <v>0</v>
      </c>
      <c r="CM23" s="67" t="str">
        <f t="shared" si="44"/>
        <v/>
      </c>
      <c r="CN23" s="68" t="str">
        <f t="shared" si="39"/>
        <v/>
      </c>
      <c r="CO23" s="68" t="str">
        <f t="shared" si="39"/>
        <v/>
      </c>
      <c r="CP23" s="68" t="str">
        <f t="shared" si="39"/>
        <v/>
      </c>
      <c r="CQ23" s="68" t="str">
        <f t="shared" si="39"/>
        <v/>
      </c>
      <c r="CR23" s="68" t="str">
        <f t="shared" si="39"/>
        <v/>
      </c>
      <c r="CS23" s="69" t="str">
        <f t="shared" si="39"/>
        <v/>
      </c>
      <c r="CU23" s="511">
        <f>SUM(SUMIF($AZ$8:$BF$8, {"NON";"NEUT"}, AZ23:BF23))/config!$AC$16</f>
        <v>0</v>
      </c>
      <c r="CV23" s="512">
        <f t="shared" si="45"/>
        <v>0.125</v>
      </c>
      <c r="CY23" s="67">
        <f>SUM(C27*$CY$108, C134*$CY$109, C241*$CY$110, C348*$CY$111, C455*$CY$112, C562*$CY$113, C669*$CY$114)/config!$AC$16</f>
        <v>0</v>
      </c>
      <c r="CZ23" s="68">
        <f>SUM(SUM(D27:E27)*$CY$108, SUM(D134:E134)*$CY$109, SUM(D241:E241)*$CY$110, SUM(D348:E348)*$CY$111, SUM(D455:E455)*$CY$112, SUM(D562:E562)*$CY$113, SUM(D669:E669)*$CY$114)/config!$AC$16</f>
        <v>0</v>
      </c>
      <c r="DA23" s="68">
        <f>SUM(SUM(F27:G27)*$CY$108, SUM(F134:G134)*$CY$109, SUM(F241:G241)*$CY$110, SUM(F348:G348)*$CY$111, SUM(F455:G455)*$CY$112, SUM(F562:G562)*$CY$113, SUM(F669:G669)*$CY$114)/config!$AC$16</f>
        <v>0</v>
      </c>
      <c r="DB23" s="68">
        <f>SUM(H27*$CY$108, H134*$CY$109, H241*$CY$110, H348*$CY$111, H455*$CY$112, H562*$CY$113, H669*$CY$114)/config!$AC$16</f>
        <v>0</v>
      </c>
      <c r="DC23" s="69">
        <f>SUM(SUM(I27:L27)*$CY$108, SUM(I134:L134)*$CY$109, SUM(I241:L241)*$CY$110, SUM(I348:L348)*$CY$111, SUM(I455:L455)*$CY$112, SUM(I562:L562)*$CY$113, SUM(I669:L669)*$CY$114)/config!$AC$16</f>
        <v>0</v>
      </c>
    </row>
    <row r="24" spans="1:107" ht="15" x14ac:dyDescent="0.25">
      <c r="A24" s="190" t="s">
        <v>52</v>
      </c>
      <c r="B24" s="642">
        <v>0</v>
      </c>
      <c r="C24" s="184">
        <v>0</v>
      </c>
      <c r="D24" s="184">
        <v>0</v>
      </c>
      <c r="E24" s="184">
        <v>0</v>
      </c>
      <c r="F24" s="184">
        <v>0</v>
      </c>
      <c r="G24" s="184">
        <v>0</v>
      </c>
      <c r="H24" s="184">
        <v>0</v>
      </c>
      <c r="I24" s="184">
        <v>0</v>
      </c>
      <c r="J24" s="184">
        <v>0</v>
      </c>
      <c r="K24" s="184">
        <v>0</v>
      </c>
      <c r="L24" s="184">
        <v>0</v>
      </c>
      <c r="M24" s="654" t="s">
        <v>24</v>
      </c>
      <c r="N24" s="669" t="s">
        <v>52</v>
      </c>
      <c r="O24" s="642">
        <v>0</v>
      </c>
      <c r="P24" s="184">
        <v>0</v>
      </c>
      <c r="Q24" s="184">
        <v>0</v>
      </c>
      <c r="R24" s="184">
        <v>0</v>
      </c>
      <c r="S24" s="184">
        <v>0</v>
      </c>
      <c r="T24" s="184">
        <v>0</v>
      </c>
      <c r="U24" s="184">
        <v>0</v>
      </c>
      <c r="V24" s="184">
        <v>0</v>
      </c>
      <c r="W24" s="184">
        <v>0</v>
      </c>
      <c r="X24" s="184">
        <v>0</v>
      </c>
      <c r="Y24" s="184">
        <v>0</v>
      </c>
      <c r="Z24" s="184">
        <v>0</v>
      </c>
      <c r="AA24" s="184">
        <v>0</v>
      </c>
      <c r="AB24" s="184">
        <v>0</v>
      </c>
      <c r="AC24" s="185" t="s">
        <v>24</v>
      </c>
      <c r="AD24" s="185" t="s">
        <v>24</v>
      </c>
      <c r="AE24" s="184">
        <v>0</v>
      </c>
      <c r="AF24" s="185">
        <v>0</v>
      </c>
      <c r="AG24" s="184">
        <v>0</v>
      </c>
      <c r="AH24" s="185">
        <v>0</v>
      </c>
      <c r="AI24" s="184">
        <v>0</v>
      </c>
      <c r="AJ24" s="643">
        <v>0</v>
      </c>
      <c r="AP24" s="401">
        <f t="shared" si="40"/>
        <v>0</v>
      </c>
      <c r="AR24" s="56">
        <f t="shared" si="41"/>
        <v>0.13541666666666666</v>
      </c>
      <c r="AS24" s="67">
        <f>SUM(C28,C135,C242,C349,C456,C563,C670)/config!$AC$13</f>
        <v>0</v>
      </c>
      <c r="AT24" s="68">
        <f>SUM(D28:E28,D135:E135,D242:E242,D349:E349,D456:E456,D563:E563,D670:E670)/config!$AC$13</f>
        <v>0.42857142857142855</v>
      </c>
      <c r="AU24" s="68">
        <f>SUM(F28:G28,F135:G135,F242:G242,F349:G349,F456:G456,F563:G563,F670:G670)/config!$AC$13</f>
        <v>0</v>
      </c>
      <c r="AV24" s="68">
        <f>SUM(H28,H135,H242,H349,H456,H563,H670)/config!$AC$13</f>
        <v>0</v>
      </c>
      <c r="AW24" s="69">
        <f>SUM(I28:L28,I135:L135,I242:L242,I349:L349,I456:L456,I563:L563,I670:L670)/config!$AC$13</f>
        <v>0</v>
      </c>
      <c r="AY24" s="56">
        <f t="shared" si="42"/>
        <v>0.13541666666666666</v>
      </c>
      <c r="AZ24" s="70">
        <f t="shared" si="8"/>
        <v>1</v>
      </c>
      <c r="BA24" s="71">
        <f t="shared" si="9"/>
        <v>1</v>
      </c>
      <c r="BB24" s="71">
        <f t="shared" si="10"/>
        <v>0</v>
      </c>
      <c r="BC24" s="71">
        <f t="shared" si="11"/>
        <v>1</v>
      </c>
      <c r="BD24" s="71">
        <f t="shared" si="12"/>
        <v>0</v>
      </c>
      <c r="BE24" s="71">
        <f t="shared" si="13"/>
        <v>0</v>
      </c>
      <c r="BF24" s="72">
        <f t="shared" si="14"/>
        <v>0</v>
      </c>
      <c r="BG24" s="45"/>
      <c r="BH24" s="56">
        <f t="shared" si="15"/>
        <v>0.13541666666666666</v>
      </c>
      <c r="BI24" s="67">
        <f t="shared" si="16"/>
        <v>38.200000000000003</v>
      </c>
      <c r="BJ24" s="68">
        <f t="shared" si="17"/>
        <v>47.2</v>
      </c>
      <c r="BK24" s="68" t="str">
        <f t="shared" si="18"/>
        <v/>
      </c>
      <c r="BL24" s="68">
        <f t="shared" si="19"/>
        <v>44</v>
      </c>
      <c r="BM24" s="68" t="str">
        <f t="shared" si="20"/>
        <v/>
      </c>
      <c r="BN24" s="68" t="str">
        <f t="shared" si="21"/>
        <v/>
      </c>
      <c r="BO24" s="69" t="str">
        <f t="shared" si="22"/>
        <v/>
      </c>
      <c r="BP24" s="63"/>
      <c r="BQ24" s="64">
        <f t="shared" si="23"/>
        <v>0.13541666666666666</v>
      </c>
      <c r="BR24" s="67" t="str">
        <f t="shared" si="24"/>
        <v/>
      </c>
      <c r="BS24" s="68" t="str">
        <f t="shared" si="25"/>
        <v/>
      </c>
      <c r="BT24" s="68" t="str">
        <f t="shared" si="26"/>
        <v/>
      </c>
      <c r="BU24" s="68" t="str">
        <f t="shared" si="27"/>
        <v/>
      </c>
      <c r="BV24" s="68" t="str">
        <f t="shared" si="28"/>
        <v/>
      </c>
      <c r="BW24" s="68" t="str">
        <f t="shared" si="29"/>
        <v/>
      </c>
      <c r="BX24" s="69" t="str">
        <f t="shared" si="30"/>
        <v/>
      </c>
      <c r="BY24" s="65"/>
      <c r="BZ24" s="66">
        <f t="shared" si="43"/>
        <v>43.133333333333333</v>
      </c>
      <c r="CA24" s="414" t="e">
        <f t="shared" si="31"/>
        <v>#N/A</v>
      </c>
      <c r="CB24" s="416">
        <f t="shared" si="48"/>
        <v>60</v>
      </c>
      <c r="CC24" s="65"/>
      <c r="CD24" s="67">
        <f t="shared" si="32"/>
        <v>0</v>
      </c>
      <c r="CE24" s="68">
        <f t="shared" si="33"/>
        <v>0</v>
      </c>
      <c r="CF24" s="68">
        <f t="shared" si="34"/>
        <v>0</v>
      </c>
      <c r="CG24" s="68">
        <f t="shared" si="35"/>
        <v>0</v>
      </c>
      <c r="CH24" s="68">
        <f t="shared" si="36"/>
        <v>0</v>
      </c>
      <c r="CI24" s="68">
        <f t="shared" si="37"/>
        <v>0</v>
      </c>
      <c r="CJ24" s="69">
        <f t="shared" si="38"/>
        <v>0</v>
      </c>
      <c r="CM24" s="67">
        <f t="shared" si="44"/>
        <v>38.200000000000003</v>
      </c>
      <c r="CN24" s="68">
        <f t="shared" si="39"/>
        <v>47.2</v>
      </c>
      <c r="CO24" s="68" t="str">
        <f t="shared" si="39"/>
        <v/>
      </c>
      <c r="CP24" s="68">
        <f t="shared" si="39"/>
        <v>44</v>
      </c>
      <c r="CQ24" s="68" t="str">
        <f t="shared" si="39"/>
        <v/>
      </c>
      <c r="CR24" s="68" t="str">
        <f t="shared" si="39"/>
        <v/>
      </c>
      <c r="CS24" s="69" t="str">
        <f t="shared" si="39"/>
        <v/>
      </c>
      <c r="CU24" s="511">
        <f>SUM(SUMIF($AZ$8:$BF$8, {"NON";"NEUT"}, AZ24:BF24))/config!$AC$16</f>
        <v>0.6</v>
      </c>
      <c r="CV24" s="512">
        <f t="shared" si="45"/>
        <v>0.13541666666666666</v>
      </c>
      <c r="CY24" s="67">
        <f>SUM(C28*$CY$108, C135*$CY$109, C242*$CY$110, C349*$CY$111, C456*$CY$112, C563*$CY$113, C670*$CY$114)/config!$AC$16</f>
        <v>0</v>
      </c>
      <c r="CZ24" s="68">
        <f>SUM(SUM(D28:E28)*$CY$108, SUM(D135:E135)*$CY$109, SUM(D242:E242)*$CY$110, SUM(D349:E349)*$CY$111, SUM(D456:E456)*$CY$112, SUM(D563:E563)*$CY$113, SUM(D670:E670)*$CY$114)/config!$AC$16</f>
        <v>0.6</v>
      </c>
      <c r="DA24" s="68">
        <f>SUM(SUM(F28:G28)*$CY$108, SUM(F135:G135)*$CY$109, SUM(F242:G242)*$CY$110, SUM(F349:G349)*$CY$111, SUM(F456:G456)*$CY$112, SUM(F563:G563)*$CY$113, SUM(F670:G670)*$CY$114)/config!$AC$16</f>
        <v>0</v>
      </c>
      <c r="DB24" s="68">
        <f>SUM(H28*$CY$108, H135*$CY$109, H242*$CY$110, H349*$CY$111, H456*$CY$112, H563*$CY$113, H670*$CY$114)/config!$AC$16</f>
        <v>0</v>
      </c>
      <c r="DC24" s="69">
        <f>SUM(SUM(I28:L28)*$CY$108, SUM(I135:L135)*$CY$109, SUM(I242:L242)*$CY$110, SUM(I349:L349)*$CY$111, SUM(I456:L456)*$CY$112, SUM(I563:L563)*$CY$113, SUM(I670:L670)*$CY$114)/config!$AC$16</f>
        <v>0</v>
      </c>
    </row>
    <row r="25" spans="1:107" ht="15" x14ac:dyDescent="0.25">
      <c r="A25" s="190" t="s">
        <v>54</v>
      </c>
      <c r="B25" s="642">
        <v>0</v>
      </c>
      <c r="C25" s="184">
        <v>0</v>
      </c>
      <c r="D25" s="184">
        <v>0</v>
      </c>
      <c r="E25" s="184">
        <v>0</v>
      </c>
      <c r="F25" s="184">
        <v>0</v>
      </c>
      <c r="G25" s="184">
        <v>0</v>
      </c>
      <c r="H25" s="184">
        <v>0</v>
      </c>
      <c r="I25" s="184">
        <v>0</v>
      </c>
      <c r="J25" s="184">
        <v>0</v>
      </c>
      <c r="K25" s="184">
        <v>0</v>
      </c>
      <c r="L25" s="184">
        <v>0</v>
      </c>
      <c r="M25" s="654" t="s">
        <v>24</v>
      </c>
      <c r="N25" s="669" t="s">
        <v>54</v>
      </c>
      <c r="O25" s="642">
        <v>0</v>
      </c>
      <c r="P25" s="184">
        <v>0</v>
      </c>
      <c r="Q25" s="184">
        <v>0</v>
      </c>
      <c r="R25" s="184">
        <v>0</v>
      </c>
      <c r="S25" s="184">
        <v>0</v>
      </c>
      <c r="T25" s="184">
        <v>0</v>
      </c>
      <c r="U25" s="184">
        <v>0</v>
      </c>
      <c r="V25" s="184">
        <v>0</v>
      </c>
      <c r="W25" s="184">
        <v>0</v>
      </c>
      <c r="X25" s="184">
        <v>0</v>
      </c>
      <c r="Y25" s="184">
        <v>0</v>
      </c>
      <c r="Z25" s="184">
        <v>0</v>
      </c>
      <c r="AA25" s="184">
        <v>0</v>
      </c>
      <c r="AB25" s="184">
        <v>0</v>
      </c>
      <c r="AC25" s="185" t="s">
        <v>24</v>
      </c>
      <c r="AD25" s="185" t="s">
        <v>24</v>
      </c>
      <c r="AE25" s="184">
        <v>0</v>
      </c>
      <c r="AF25" s="185">
        <v>0</v>
      </c>
      <c r="AG25" s="184">
        <v>0</v>
      </c>
      <c r="AH25" s="185">
        <v>0</v>
      </c>
      <c r="AI25" s="184">
        <v>0</v>
      </c>
      <c r="AJ25" s="643">
        <v>0</v>
      </c>
      <c r="AP25" s="401">
        <f t="shared" si="40"/>
        <v>0</v>
      </c>
      <c r="AR25" s="56">
        <f t="shared" si="41"/>
        <v>0.14583333333333331</v>
      </c>
      <c r="AS25" s="67">
        <f>SUM(C29,C136,C243,C350,C457,C564,C671)/config!$AC$13</f>
        <v>0</v>
      </c>
      <c r="AT25" s="68">
        <f>SUM(D29:E29,D136:E136,D243:E243,D350:E350,D457:E457,D564:E564,D671:E671)/config!$AC$13</f>
        <v>0.14285714285714285</v>
      </c>
      <c r="AU25" s="68">
        <f>SUM(F29:G29,F136:G136,F243:G243,F350:G350,F457:G457,F564:G564,F671:G671)/config!$AC$13</f>
        <v>0</v>
      </c>
      <c r="AV25" s="68">
        <f>SUM(H29,H136,H243,H350,H457,H564,H671)/config!$AC$13</f>
        <v>0</v>
      </c>
      <c r="AW25" s="69">
        <f>SUM(I29:L29,I136:L136,I243:L243,I350:L350,I457:L457,I564:L564,I671:L671)/config!$AC$13</f>
        <v>0</v>
      </c>
      <c r="AY25" s="56">
        <f t="shared" si="42"/>
        <v>0.14583333333333331</v>
      </c>
      <c r="AZ25" s="70">
        <f t="shared" si="8"/>
        <v>0</v>
      </c>
      <c r="BA25" s="71">
        <f t="shared" si="9"/>
        <v>0</v>
      </c>
      <c r="BB25" s="71">
        <f t="shared" si="10"/>
        <v>0</v>
      </c>
      <c r="BC25" s="71">
        <f t="shared" si="11"/>
        <v>0</v>
      </c>
      <c r="BD25" s="71">
        <f t="shared" si="12"/>
        <v>0</v>
      </c>
      <c r="BE25" s="71">
        <f t="shared" si="13"/>
        <v>0</v>
      </c>
      <c r="BF25" s="72">
        <f t="shared" si="14"/>
        <v>1</v>
      </c>
      <c r="BG25" s="45"/>
      <c r="BH25" s="56">
        <f t="shared" si="15"/>
        <v>0.14583333333333331</v>
      </c>
      <c r="BI25" s="67" t="str">
        <f t="shared" si="16"/>
        <v/>
      </c>
      <c r="BJ25" s="68" t="str">
        <f t="shared" si="17"/>
        <v/>
      </c>
      <c r="BK25" s="68" t="str">
        <f t="shared" si="18"/>
        <v/>
      </c>
      <c r="BL25" s="68" t="str">
        <f t="shared" si="19"/>
        <v/>
      </c>
      <c r="BM25" s="68" t="str">
        <f t="shared" si="20"/>
        <v/>
      </c>
      <c r="BN25" s="68" t="str">
        <f t="shared" si="21"/>
        <v/>
      </c>
      <c r="BO25" s="69">
        <f t="shared" si="22"/>
        <v>43.6</v>
      </c>
      <c r="BP25" s="63"/>
      <c r="BQ25" s="64">
        <f t="shared" si="23"/>
        <v>0.14583333333333331</v>
      </c>
      <c r="BR25" s="67" t="str">
        <f t="shared" si="24"/>
        <v/>
      </c>
      <c r="BS25" s="68" t="str">
        <f t="shared" si="25"/>
        <v/>
      </c>
      <c r="BT25" s="68" t="str">
        <f t="shared" si="26"/>
        <v/>
      </c>
      <c r="BU25" s="68" t="str">
        <f t="shared" si="27"/>
        <v/>
      </c>
      <c r="BV25" s="68" t="str">
        <f t="shared" si="28"/>
        <v/>
      </c>
      <c r="BW25" s="68" t="str">
        <f t="shared" si="29"/>
        <v/>
      </c>
      <c r="BX25" s="69" t="str">
        <f t="shared" si="30"/>
        <v/>
      </c>
      <c r="BY25" s="65"/>
      <c r="BZ25" s="66">
        <f t="shared" si="43"/>
        <v>43.6</v>
      </c>
      <c r="CA25" s="414" t="e">
        <f t="shared" si="31"/>
        <v>#N/A</v>
      </c>
      <c r="CB25" s="416">
        <f t="shared" si="48"/>
        <v>60</v>
      </c>
      <c r="CC25" s="65"/>
      <c r="CD25" s="67">
        <f t="shared" si="32"/>
        <v>0</v>
      </c>
      <c r="CE25" s="68">
        <f t="shared" si="33"/>
        <v>0</v>
      </c>
      <c r="CF25" s="68">
        <f t="shared" si="34"/>
        <v>0</v>
      </c>
      <c r="CG25" s="68">
        <f t="shared" si="35"/>
        <v>0</v>
      </c>
      <c r="CH25" s="68">
        <f t="shared" si="36"/>
        <v>0</v>
      </c>
      <c r="CI25" s="68">
        <f t="shared" si="37"/>
        <v>0</v>
      </c>
      <c r="CJ25" s="69">
        <f t="shared" si="38"/>
        <v>0</v>
      </c>
      <c r="CM25" s="67" t="str">
        <f t="shared" si="44"/>
        <v/>
      </c>
      <c r="CN25" s="68" t="str">
        <f t="shared" si="39"/>
        <v/>
      </c>
      <c r="CO25" s="68" t="str">
        <f t="shared" si="39"/>
        <v/>
      </c>
      <c r="CP25" s="68" t="str">
        <f t="shared" si="39"/>
        <v/>
      </c>
      <c r="CQ25" s="68" t="str">
        <f t="shared" si="39"/>
        <v/>
      </c>
      <c r="CR25" s="68" t="str">
        <f t="shared" si="39"/>
        <v/>
      </c>
      <c r="CS25" s="69">
        <f t="shared" si="39"/>
        <v>43.6</v>
      </c>
      <c r="CU25" s="511">
        <f>SUM(SUMIF($AZ$8:$BF$8, {"NON";"NEUT"}, AZ25:BF25))/config!$AC$16</f>
        <v>0.2</v>
      </c>
      <c r="CV25" s="512">
        <f t="shared" si="45"/>
        <v>0.14583333333333331</v>
      </c>
      <c r="CY25" s="67">
        <f>SUM(C29*$CY$108, C136*$CY$109, C243*$CY$110, C350*$CY$111, C457*$CY$112, C564*$CY$113, C671*$CY$114)/config!$AC$16</f>
        <v>0</v>
      </c>
      <c r="CZ25" s="68">
        <f>SUM(SUM(D29:E29)*$CY$108, SUM(D136:E136)*$CY$109, SUM(D243:E243)*$CY$110, SUM(D350:E350)*$CY$111, SUM(D457:E457)*$CY$112, SUM(D564:E564)*$CY$113, SUM(D671:E671)*$CY$114)/config!$AC$16</f>
        <v>0.2</v>
      </c>
      <c r="DA25" s="68">
        <f>SUM(SUM(F29:G29)*$CY$108, SUM(F136:G136)*$CY$109, SUM(F243:G243)*$CY$110, SUM(F350:G350)*$CY$111, SUM(F457:G457)*$CY$112, SUM(F564:G564)*$CY$113, SUM(F671:G671)*$CY$114)/config!$AC$16</f>
        <v>0</v>
      </c>
      <c r="DB25" s="68">
        <f>SUM(H29*$CY$108, H136*$CY$109, H243*$CY$110, H350*$CY$111, H457*$CY$112, H564*$CY$113, H671*$CY$114)/config!$AC$16</f>
        <v>0</v>
      </c>
      <c r="DC25" s="69">
        <f>SUM(SUM(I29:L29)*$CY$108, SUM(I136:L136)*$CY$109, SUM(I243:L243)*$CY$110, SUM(I350:L350)*$CY$111, SUM(I457:L457)*$CY$112, SUM(I564:L564)*$CY$113, SUM(I671:L671)*$CY$114)/config!$AC$16</f>
        <v>0</v>
      </c>
    </row>
    <row r="26" spans="1:107" ht="15" x14ac:dyDescent="0.25">
      <c r="A26" s="190" t="s">
        <v>56</v>
      </c>
      <c r="B26" s="642">
        <v>0</v>
      </c>
      <c r="C26" s="184">
        <v>0</v>
      </c>
      <c r="D26" s="184">
        <v>0</v>
      </c>
      <c r="E26" s="184">
        <v>0</v>
      </c>
      <c r="F26" s="184">
        <v>0</v>
      </c>
      <c r="G26" s="184">
        <v>0</v>
      </c>
      <c r="H26" s="184">
        <v>0</v>
      </c>
      <c r="I26" s="184">
        <v>0</v>
      </c>
      <c r="J26" s="184">
        <v>0</v>
      </c>
      <c r="K26" s="184">
        <v>0</v>
      </c>
      <c r="L26" s="184">
        <v>0</v>
      </c>
      <c r="M26" s="654" t="s">
        <v>24</v>
      </c>
      <c r="N26" s="669" t="s">
        <v>56</v>
      </c>
      <c r="O26" s="642">
        <v>0</v>
      </c>
      <c r="P26" s="184">
        <v>0</v>
      </c>
      <c r="Q26" s="184">
        <v>0</v>
      </c>
      <c r="R26" s="184">
        <v>0</v>
      </c>
      <c r="S26" s="184">
        <v>0</v>
      </c>
      <c r="T26" s="184">
        <v>0</v>
      </c>
      <c r="U26" s="184">
        <v>0</v>
      </c>
      <c r="V26" s="184">
        <v>0</v>
      </c>
      <c r="W26" s="184">
        <v>0</v>
      </c>
      <c r="X26" s="184">
        <v>0</v>
      </c>
      <c r="Y26" s="184">
        <v>0</v>
      </c>
      <c r="Z26" s="184">
        <v>0</v>
      </c>
      <c r="AA26" s="184">
        <v>0</v>
      </c>
      <c r="AB26" s="184">
        <v>0</v>
      </c>
      <c r="AC26" s="185" t="s">
        <v>24</v>
      </c>
      <c r="AD26" s="185" t="s">
        <v>24</v>
      </c>
      <c r="AE26" s="184">
        <v>0</v>
      </c>
      <c r="AF26" s="185">
        <v>0</v>
      </c>
      <c r="AG26" s="184">
        <v>0</v>
      </c>
      <c r="AH26" s="185">
        <v>0</v>
      </c>
      <c r="AI26" s="184">
        <v>0</v>
      </c>
      <c r="AJ26" s="643">
        <v>0</v>
      </c>
      <c r="AP26" s="401">
        <f t="shared" si="40"/>
        <v>0</v>
      </c>
      <c r="AR26" s="56">
        <f t="shared" si="41"/>
        <v>0.15624999999999997</v>
      </c>
      <c r="AS26" s="67">
        <f>SUM(C30,C137,C244,C351,C458,C565,C672)/config!$AC$13</f>
        <v>0</v>
      </c>
      <c r="AT26" s="68">
        <f>SUM(D30:E30,D137:E137,D244:E244,D351:E351,D458:E458,D565:E565,D672:E672)/config!$AC$13</f>
        <v>0.5714285714285714</v>
      </c>
      <c r="AU26" s="68">
        <f>SUM(F30:G30,F137:G137,F244:G244,F351:G351,F458:G458,F565:G565,F672:G672)/config!$AC$13</f>
        <v>0</v>
      </c>
      <c r="AV26" s="68">
        <f>SUM(H30,H137,H244,H351,H458,H565,H672)/config!$AC$13</f>
        <v>0</v>
      </c>
      <c r="AW26" s="69">
        <f>SUM(I30:L30,I137:L137,I244:L244,I351:L351,I458:L458,I565:L565,I672:L672)/config!$AC$13</f>
        <v>0</v>
      </c>
      <c r="AY26" s="56">
        <f t="shared" si="42"/>
        <v>0.15624999999999997</v>
      </c>
      <c r="AZ26" s="70">
        <f t="shared" si="8"/>
        <v>1</v>
      </c>
      <c r="BA26" s="71">
        <f t="shared" si="9"/>
        <v>1</v>
      </c>
      <c r="BB26" s="71">
        <f t="shared" si="10"/>
        <v>1</v>
      </c>
      <c r="BC26" s="71">
        <f t="shared" si="11"/>
        <v>1</v>
      </c>
      <c r="BD26" s="71">
        <f t="shared" si="12"/>
        <v>0</v>
      </c>
      <c r="BE26" s="71">
        <f t="shared" si="13"/>
        <v>0</v>
      </c>
      <c r="BF26" s="72">
        <f t="shared" si="14"/>
        <v>0</v>
      </c>
      <c r="BG26" s="45"/>
      <c r="BH26" s="56">
        <f t="shared" si="15"/>
        <v>0.15624999999999997</v>
      </c>
      <c r="BI26" s="67">
        <f t="shared" si="16"/>
        <v>40.9</v>
      </c>
      <c r="BJ26" s="68">
        <f t="shared" si="17"/>
        <v>40.5</v>
      </c>
      <c r="BK26" s="68">
        <f t="shared" si="18"/>
        <v>38</v>
      </c>
      <c r="BL26" s="68">
        <f t="shared" si="19"/>
        <v>37.4</v>
      </c>
      <c r="BM26" s="68" t="str">
        <f t="shared" si="20"/>
        <v/>
      </c>
      <c r="BN26" s="68" t="str">
        <f t="shared" si="21"/>
        <v/>
      </c>
      <c r="BO26" s="69" t="str">
        <f t="shared" si="22"/>
        <v/>
      </c>
      <c r="BP26" s="63"/>
      <c r="BQ26" s="64">
        <f t="shared" si="23"/>
        <v>0.15624999999999997</v>
      </c>
      <c r="BR26" s="67" t="str">
        <f t="shared" si="24"/>
        <v/>
      </c>
      <c r="BS26" s="68" t="str">
        <f t="shared" si="25"/>
        <v/>
      </c>
      <c r="BT26" s="68" t="str">
        <f t="shared" si="26"/>
        <v/>
      </c>
      <c r="BU26" s="68" t="str">
        <f t="shared" si="27"/>
        <v/>
      </c>
      <c r="BV26" s="68" t="str">
        <f t="shared" si="28"/>
        <v/>
      </c>
      <c r="BW26" s="68" t="str">
        <f t="shared" si="29"/>
        <v/>
      </c>
      <c r="BX26" s="69" t="str">
        <f t="shared" si="30"/>
        <v/>
      </c>
      <c r="BY26" s="65"/>
      <c r="BZ26" s="66">
        <f t="shared" si="43"/>
        <v>39.200000000000003</v>
      </c>
      <c r="CA26" s="414" t="e">
        <f t="shared" si="31"/>
        <v>#N/A</v>
      </c>
      <c r="CB26" s="416">
        <f t="shared" si="48"/>
        <v>60</v>
      </c>
      <c r="CC26" s="65"/>
      <c r="CD26" s="67">
        <f t="shared" si="32"/>
        <v>0</v>
      </c>
      <c r="CE26" s="68">
        <f t="shared" si="33"/>
        <v>0</v>
      </c>
      <c r="CF26" s="68">
        <f t="shared" si="34"/>
        <v>0</v>
      </c>
      <c r="CG26" s="68">
        <f t="shared" si="35"/>
        <v>0</v>
      </c>
      <c r="CH26" s="68">
        <f t="shared" si="36"/>
        <v>0</v>
      </c>
      <c r="CI26" s="68">
        <f t="shared" si="37"/>
        <v>0</v>
      </c>
      <c r="CJ26" s="69">
        <f t="shared" si="38"/>
        <v>0</v>
      </c>
      <c r="CM26" s="67">
        <f t="shared" si="44"/>
        <v>40.9</v>
      </c>
      <c r="CN26" s="68">
        <f t="shared" si="39"/>
        <v>40.5</v>
      </c>
      <c r="CO26" s="68">
        <f t="shared" si="39"/>
        <v>38</v>
      </c>
      <c r="CP26" s="68">
        <f t="shared" si="39"/>
        <v>37.4</v>
      </c>
      <c r="CQ26" s="68" t="str">
        <f t="shared" si="39"/>
        <v/>
      </c>
      <c r="CR26" s="68" t="str">
        <f t="shared" si="39"/>
        <v/>
      </c>
      <c r="CS26" s="69" t="str">
        <f t="shared" si="39"/>
        <v/>
      </c>
      <c r="CU26" s="511">
        <f>SUM(SUMIF($AZ$8:$BF$8, {"NON";"NEUT"}, AZ26:BF26))/config!$AC$16</f>
        <v>0.8</v>
      </c>
      <c r="CV26" s="512">
        <f t="shared" si="45"/>
        <v>0.15624999999999997</v>
      </c>
      <c r="CY26" s="67">
        <f>SUM(C30*$CY$108, C137*$CY$109, C244*$CY$110, C351*$CY$111, C458*$CY$112, C565*$CY$113, C672*$CY$114)/config!$AC$16</f>
        <v>0</v>
      </c>
      <c r="CZ26" s="68">
        <f>SUM(SUM(D30:E30)*$CY$108, SUM(D137:E137)*$CY$109, SUM(D244:E244)*$CY$110, SUM(D351:E351)*$CY$111, SUM(D458:E458)*$CY$112, SUM(D565:E565)*$CY$113, SUM(D672:E672)*$CY$114)/config!$AC$16</f>
        <v>0.8</v>
      </c>
      <c r="DA26" s="68">
        <f>SUM(SUM(F30:G30)*$CY$108, SUM(F137:G137)*$CY$109, SUM(F244:G244)*$CY$110, SUM(F351:G351)*$CY$111, SUM(F458:G458)*$CY$112, SUM(F565:G565)*$CY$113, SUM(F672:G672)*$CY$114)/config!$AC$16</f>
        <v>0</v>
      </c>
      <c r="DB26" s="68">
        <f>SUM(H30*$CY$108, H137*$CY$109, H244*$CY$110, H351*$CY$111, H458*$CY$112, H565*$CY$113, H672*$CY$114)/config!$AC$16</f>
        <v>0</v>
      </c>
      <c r="DC26" s="69">
        <f>SUM(SUM(I30:L30)*$CY$108, SUM(I137:L137)*$CY$109, SUM(I244:L244)*$CY$110, SUM(I351:L351)*$CY$111, SUM(I458:L458)*$CY$112, SUM(I565:L565)*$CY$113, SUM(I672:L672)*$CY$114)/config!$AC$16</f>
        <v>0</v>
      </c>
    </row>
    <row r="27" spans="1:107" ht="15" x14ac:dyDescent="0.25">
      <c r="A27" s="190" t="s">
        <v>43</v>
      </c>
      <c r="B27" s="642">
        <v>0</v>
      </c>
      <c r="C27" s="184">
        <v>0</v>
      </c>
      <c r="D27" s="184">
        <v>0</v>
      </c>
      <c r="E27" s="184">
        <v>0</v>
      </c>
      <c r="F27" s="184">
        <v>0</v>
      </c>
      <c r="G27" s="184">
        <v>0</v>
      </c>
      <c r="H27" s="184">
        <v>0</v>
      </c>
      <c r="I27" s="184">
        <v>0</v>
      </c>
      <c r="J27" s="184">
        <v>0</v>
      </c>
      <c r="K27" s="184">
        <v>0</v>
      </c>
      <c r="L27" s="184">
        <v>0</v>
      </c>
      <c r="M27" s="654" t="s">
        <v>24</v>
      </c>
      <c r="N27" s="669" t="s">
        <v>43</v>
      </c>
      <c r="O27" s="642">
        <v>0</v>
      </c>
      <c r="P27" s="184">
        <v>0</v>
      </c>
      <c r="Q27" s="184">
        <v>0</v>
      </c>
      <c r="R27" s="184">
        <v>0</v>
      </c>
      <c r="S27" s="184">
        <v>0</v>
      </c>
      <c r="T27" s="184">
        <v>0</v>
      </c>
      <c r="U27" s="184">
        <v>0</v>
      </c>
      <c r="V27" s="184">
        <v>0</v>
      </c>
      <c r="W27" s="184">
        <v>0</v>
      </c>
      <c r="X27" s="184">
        <v>0</v>
      </c>
      <c r="Y27" s="184">
        <v>0</v>
      </c>
      <c r="Z27" s="184">
        <v>0</v>
      </c>
      <c r="AA27" s="184">
        <v>0</v>
      </c>
      <c r="AB27" s="184">
        <v>0</v>
      </c>
      <c r="AC27" s="185" t="s">
        <v>24</v>
      </c>
      <c r="AD27" s="185" t="s">
        <v>24</v>
      </c>
      <c r="AE27" s="184">
        <v>0</v>
      </c>
      <c r="AF27" s="185">
        <v>0</v>
      </c>
      <c r="AG27" s="184">
        <v>0</v>
      </c>
      <c r="AH27" s="185">
        <v>0</v>
      </c>
      <c r="AI27" s="184">
        <v>0</v>
      </c>
      <c r="AJ27" s="643">
        <v>0</v>
      </c>
      <c r="AP27" s="401">
        <f t="shared" si="40"/>
        <v>0</v>
      </c>
      <c r="AR27" s="56">
        <f t="shared" si="41"/>
        <v>0.16666666666666663</v>
      </c>
      <c r="AS27" s="67">
        <f>SUM(C31,C138,C245,C352,C459,C566,C673)/config!$AC$13</f>
        <v>0</v>
      </c>
      <c r="AT27" s="68">
        <f>SUM(D31:E31,D138:E138,D245:E245,D352:E352,D459:E459,D566:E566,D673:E673)/config!$AC$13</f>
        <v>0</v>
      </c>
      <c r="AU27" s="68">
        <f>SUM(F31:G31,F138:G138,F245:G245,F352:G352,F459:G459,F566:G566,F673:G673)/config!$AC$13</f>
        <v>0</v>
      </c>
      <c r="AV27" s="68">
        <f>SUM(H31,H138,H245,H352,H459,H566,H673)/config!$AC$13</f>
        <v>0</v>
      </c>
      <c r="AW27" s="69">
        <f>SUM(I31:L31,I138:L138,I245:L245,I352:L352,I459:L459,I566:L566,I673:L673)/config!$AC$13</f>
        <v>0</v>
      </c>
      <c r="AY27" s="56">
        <f t="shared" si="42"/>
        <v>0.16666666666666663</v>
      </c>
      <c r="AZ27" s="70">
        <f t="shared" si="8"/>
        <v>0</v>
      </c>
      <c r="BA27" s="71">
        <f t="shared" si="9"/>
        <v>0</v>
      </c>
      <c r="BB27" s="71">
        <f t="shared" si="10"/>
        <v>0</v>
      </c>
      <c r="BC27" s="71">
        <f t="shared" si="11"/>
        <v>0</v>
      </c>
      <c r="BD27" s="71">
        <f t="shared" si="12"/>
        <v>0</v>
      </c>
      <c r="BE27" s="71">
        <f t="shared" si="13"/>
        <v>0</v>
      </c>
      <c r="BF27" s="72">
        <f t="shared" si="14"/>
        <v>0</v>
      </c>
      <c r="BG27" s="45"/>
      <c r="BH27" s="56">
        <f t="shared" si="15"/>
        <v>0.16666666666666663</v>
      </c>
      <c r="BI27" s="67" t="str">
        <f t="shared" si="16"/>
        <v/>
      </c>
      <c r="BJ27" s="68" t="str">
        <f t="shared" si="17"/>
        <v/>
      </c>
      <c r="BK27" s="68" t="str">
        <f t="shared" si="18"/>
        <v/>
      </c>
      <c r="BL27" s="68" t="str">
        <f t="shared" si="19"/>
        <v/>
      </c>
      <c r="BM27" s="68" t="str">
        <f t="shared" si="20"/>
        <v/>
      </c>
      <c r="BN27" s="68" t="str">
        <f t="shared" si="21"/>
        <v/>
      </c>
      <c r="BO27" s="69" t="str">
        <f t="shared" si="22"/>
        <v/>
      </c>
      <c r="BP27" s="63"/>
      <c r="BQ27" s="64">
        <f t="shared" si="23"/>
        <v>0.16666666666666663</v>
      </c>
      <c r="BR27" s="67" t="str">
        <f t="shared" si="24"/>
        <v/>
      </c>
      <c r="BS27" s="68" t="str">
        <f t="shared" si="25"/>
        <v/>
      </c>
      <c r="BT27" s="68" t="str">
        <f t="shared" si="26"/>
        <v/>
      </c>
      <c r="BU27" s="68" t="str">
        <f t="shared" si="27"/>
        <v/>
      </c>
      <c r="BV27" s="68" t="str">
        <f t="shared" si="28"/>
        <v/>
      </c>
      <c r="BW27" s="68" t="str">
        <f t="shared" si="29"/>
        <v/>
      </c>
      <c r="BX27" s="69" t="str">
        <f t="shared" si="30"/>
        <v/>
      </c>
      <c r="BY27" s="65"/>
      <c r="BZ27" s="66" t="e">
        <f t="shared" si="43"/>
        <v>#N/A</v>
      </c>
      <c r="CA27" s="414" t="e">
        <f t="shared" si="31"/>
        <v>#N/A</v>
      </c>
      <c r="CB27" s="416">
        <f t="shared" si="48"/>
        <v>60</v>
      </c>
      <c r="CC27" s="65"/>
      <c r="CD27" s="67">
        <f t="shared" si="32"/>
        <v>0</v>
      </c>
      <c r="CE27" s="68">
        <f t="shared" si="33"/>
        <v>0</v>
      </c>
      <c r="CF27" s="68">
        <f t="shared" si="34"/>
        <v>0</v>
      </c>
      <c r="CG27" s="68">
        <f t="shared" si="35"/>
        <v>0</v>
      </c>
      <c r="CH27" s="68">
        <f t="shared" si="36"/>
        <v>0</v>
      </c>
      <c r="CI27" s="68">
        <f t="shared" si="37"/>
        <v>0</v>
      </c>
      <c r="CJ27" s="69">
        <f t="shared" si="38"/>
        <v>0</v>
      </c>
      <c r="CM27" s="67" t="str">
        <f t="shared" si="44"/>
        <v/>
      </c>
      <c r="CN27" s="68" t="str">
        <f t="shared" ref="CN27:CN90" si="49">IFERROR(BA27*BJ27,"")</f>
        <v/>
      </c>
      <c r="CO27" s="68" t="str">
        <f t="shared" ref="CO27:CO90" si="50">IFERROR(BB27*BK27,"")</f>
        <v/>
      </c>
      <c r="CP27" s="68" t="str">
        <f t="shared" ref="CP27:CP90" si="51">IFERROR(BC27*BL27,"")</f>
        <v/>
      </c>
      <c r="CQ27" s="68" t="str">
        <f t="shared" ref="CQ27:CQ90" si="52">IFERROR(BD27*BM27,"")</f>
        <v/>
      </c>
      <c r="CR27" s="68" t="str">
        <f t="shared" ref="CR27:CR90" si="53">IFERROR(BE27*BN27,"")</f>
        <v/>
      </c>
      <c r="CS27" s="69" t="str">
        <f t="shared" ref="CS27:CS90" si="54">IFERROR(BF27*BO27,"")</f>
        <v/>
      </c>
      <c r="CU27" s="511">
        <f>SUM(SUMIF($AZ$8:$BF$8, {"NON";"NEUT"}, AZ27:BF27))/config!$AC$16</f>
        <v>0</v>
      </c>
      <c r="CV27" s="512">
        <f t="shared" si="45"/>
        <v>0.16666666666666663</v>
      </c>
      <c r="CY27" s="67">
        <f>SUM(C31*$CY$108, C138*$CY$109, C245*$CY$110, C352*$CY$111, C459*$CY$112, C566*$CY$113, C673*$CY$114)/config!$AC$16</f>
        <v>0</v>
      </c>
      <c r="CZ27" s="68">
        <f>SUM(SUM(D31:E31)*$CY$108, SUM(D138:E138)*$CY$109, SUM(D245:E245)*$CY$110, SUM(D352:E352)*$CY$111, SUM(D459:E459)*$CY$112, SUM(D566:E566)*$CY$113, SUM(D673:E673)*$CY$114)/config!$AC$16</f>
        <v>0</v>
      </c>
      <c r="DA27" s="68">
        <f>SUM(SUM(F31:G31)*$CY$108, SUM(F138:G138)*$CY$109, SUM(F245:G245)*$CY$110, SUM(F352:G352)*$CY$111, SUM(F459:G459)*$CY$112, SUM(F566:G566)*$CY$113, SUM(F673:G673)*$CY$114)/config!$AC$16</f>
        <v>0</v>
      </c>
      <c r="DB27" s="68">
        <f>SUM(H31*$CY$108, H138*$CY$109, H245*$CY$110, H352*$CY$111, H459*$CY$112, H566*$CY$113, H673*$CY$114)/config!$AC$16</f>
        <v>0</v>
      </c>
      <c r="DC27" s="69">
        <f>SUM(SUM(I31:L31)*$CY$108, SUM(I138:L138)*$CY$109, SUM(I245:L245)*$CY$110, SUM(I352:L352)*$CY$111, SUM(I459:L459)*$CY$112, SUM(I566:L566)*$CY$113, SUM(I673:L673)*$CY$114)/config!$AC$16</f>
        <v>0</v>
      </c>
    </row>
    <row r="28" spans="1:107" ht="15" x14ac:dyDescent="0.25">
      <c r="A28" s="190" t="s">
        <v>59</v>
      </c>
      <c r="B28" s="642">
        <v>1</v>
      </c>
      <c r="C28" s="184">
        <v>0</v>
      </c>
      <c r="D28" s="184">
        <v>1</v>
      </c>
      <c r="E28" s="184">
        <v>0</v>
      </c>
      <c r="F28" s="184">
        <v>0</v>
      </c>
      <c r="G28" s="184">
        <v>0</v>
      </c>
      <c r="H28" s="184">
        <v>0</v>
      </c>
      <c r="I28" s="184">
        <v>0</v>
      </c>
      <c r="J28" s="184">
        <v>0</v>
      </c>
      <c r="K28" s="184">
        <v>0</v>
      </c>
      <c r="L28" s="184">
        <v>0</v>
      </c>
      <c r="M28" s="654" t="s">
        <v>24</v>
      </c>
      <c r="N28" s="669" t="s">
        <v>59</v>
      </c>
      <c r="O28" s="642">
        <v>0</v>
      </c>
      <c r="P28" s="184">
        <v>0</v>
      </c>
      <c r="Q28" s="184">
        <v>0</v>
      </c>
      <c r="R28" s="184">
        <v>0</v>
      </c>
      <c r="S28" s="184">
        <v>0</v>
      </c>
      <c r="T28" s="184">
        <v>0</v>
      </c>
      <c r="U28" s="184">
        <v>1</v>
      </c>
      <c r="V28" s="184">
        <v>0</v>
      </c>
      <c r="W28" s="184">
        <v>0</v>
      </c>
      <c r="X28" s="184">
        <v>0</v>
      </c>
      <c r="Y28" s="184">
        <v>0</v>
      </c>
      <c r="Z28" s="184">
        <v>0</v>
      </c>
      <c r="AA28" s="184">
        <v>0</v>
      </c>
      <c r="AB28" s="184">
        <v>0</v>
      </c>
      <c r="AC28" s="185">
        <v>38.200000000000003</v>
      </c>
      <c r="AD28" s="185" t="s">
        <v>24</v>
      </c>
      <c r="AE28" s="184">
        <v>0</v>
      </c>
      <c r="AF28" s="185">
        <v>0</v>
      </c>
      <c r="AG28" s="184">
        <v>0</v>
      </c>
      <c r="AH28" s="185">
        <v>0</v>
      </c>
      <c r="AI28" s="184">
        <v>0</v>
      </c>
      <c r="AJ28" s="643">
        <v>0</v>
      </c>
      <c r="AP28" s="401">
        <f t="shared" si="40"/>
        <v>0</v>
      </c>
      <c r="AR28" s="56">
        <f t="shared" si="41"/>
        <v>0.17708333333333329</v>
      </c>
      <c r="AS28" s="67">
        <f>SUM(C32,C139,C246,C353,C460,C567,C674)/config!$AC$13</f>
        <v>0</v>
      </c>
      <c r="AT28" s="68">
        <f>SUM(D32:E32,D139:E139,D246:E246,D353:E353,D460:E460,D567:E567,D674:E674)/config!$AC$13</f>
        <v>0.2857142857142857</v>
      </c>
      <c r="AU28" s="68">
        <f>SUM(F32:G32,F139:G139,F246:G246,F353:G353,F460:G460,F567:G567,F674:G674)/config!$AC$13</f>
        <v>0</v>
      </c>
      <c r="AV28" s="68">
        <f>SUM(H32,H139,H246,H353,H460,H567,H674)/config!$AC$13</f>
        <v>0</v>
      </c>
      <c r="AW28" s="69">
        <f>SUM(I32:L32,I139:L139,I246:L246,I353:L353,I460:L460,I567:L567,I674:L674)/config!$AC$13</f>
        <v>0</v>
      </c>
      <c r="AY28" s="56">
        <f t="shared" si="42"/>
        <v>0.17708333333333329</v>
      </c>
      <c r="AZ28" s="70">
        <f t="shared" si="8"/>
        <v>0</v>
      </c>
      <c r="BA28" s="71">
        <f t="shared" si="9"/>
        <v>0</v>
      </c>
      <c r="BB28" s="71">
        <f t="shared" si="10"/>
        <v>1</v>
      </c>
      <c r="BC28" s="71">
        <f t="shared" si="11"/>
        <v>0</v>
      </c>
      <c r="BD28" s="71">
        <f t="shared" si="12"/>
        <v>1</v>
      </c>
      <c r="BE28" s="71">
        <f t="shared" si="13"/>
        <v>0</v>
      </c>
      <c r="BF28" s="72">
        <f t="shared" si="14"/>
        <v>0</v>
      </c>
      <c r="BG28" s="45"/>
      <c r="BH28" s="56">
        <f t="shared" si="15"/>
        <v>0.17708333333333329</v>
      </c>
      <c r="BI28" s="67" t="str">
        <f t="shared" si="16"/>
        <v/>
      </c>
      <c r="BJ28" s="68" t="str">
        <f t="shared" si="17"/>
        <v/>
      </c>
      <c r="BK28" s="68">
        <f t="shared" si="18"/>
        <v>37.299999999999997</v>
      </c>
      <c r="BL28" s="68" t="str">
        <f t="shared" si="19"/>
        <v/>
      </c>
      <c r="BM28" s="68">
        <f t="shared" si="20"/>
        <v>39.299999999999997</v>
      </c>
      <c r="BN28" s="68" t="str">
        <f t="shared" si="21"/>
        <v/>
      </c>
      <c r="BO28" s="69" t="str">
        <f t="shared" si="22"/>
        <v/>
      </c>
      <c r="BP28" s="63"/>
      <c r="BQ28" s="64">
        <f t="shared" si="23"/>
        <v>0.17708333333333329</v>
      </c>
      <c r="BR28" s="67" t="str">
        <f t="shared" si="24"/>
        <v/>
      </c>
      <c r="BS28" s="68" t="str">
        <f t="shared" si="25"/>
        <v/>
      </c>
      <c r="BT28" s="68" t="str">
        <f t="shared" si="26"/>
        <v/>
      </c>
      <c r="BU28" s="68" t="str">
        <f t="shared" si="27"/>
        <v/>
      </c>
      <c r="BV28" s="68" t="str">
        <f t="shared" si="28"/>
        <v/>
      </c>
      <c r="BW28" s="68" t="str">
        <f t="shared" si="29"/>
        <v/>
      </c>
      <c r="BX28" s="69" t="str">
        <f t="shared" si="30"/>
        <v/>
      </c>
      <c r="BY28" s="65"/>
      <c r="BZ28" s="66">
        <f t="shared" si="43"/>
        <v>38.299999999999997</v>
      </c>
      <c r="CA28" s="414" t="e">
        <f t="shared" si="31"/>
        <v>#N/A</v>
      </c>
      <c r="CB28" s="416">
        <f t="shared" si="48"/>
        <v>60</v>
      </c>
      <c r="CC28" s="65"/>
      <c r="CD28" s="67">
        <f t="shared" si="32"/>
        <v>0</v>
      </c>
      <c r="CE28" s="68">
        <f t="shared" si="33"/>
        <v>0</v>
      </c>
      <c r="CF28" s="68">
        <f t="shared" si="34"/>
        <v>0</v>
      </c>
      <c r="CG28" s="68">
        <f t="shared" si="35"/>
        <v>0</v>
      </c>
      <c r="CH28" s="68">
        <f t="shared" si="36"/>
        <v>0</v>
      </c>
      <c r="CI28" s="68">
        <f t="shared" si="37"/>
        <v>0</v>
      </c>
      <c r="CJ28" s="69">
        <f t="shared" si="38"/>
        <v>0</v>
      </c>
      <c r="CM28" s="67" t="str">
        <f t="shared" si="44"/>
        <v/>
      </c>
      <c r="CN28" s="68" t="str">
        <f t="shared" si="49"/>
        <v/>
      </c>
      <c r="CO28" s="68">
        <f t="shared" si="50"/>
        <v>37.299999999999997</v>
      </c>
      <c r="CP28" s="68" t="str">
        <f t="shared" si="51"/>
        <v/>
      </c>
      <c r="CQ28" s="68">
        <f t="shared" si="52"/>
        <v>39.299999999999997</v>
      </c>
      <c r="CR28" s="68" t="str">
        <f t="shared" si="53"/>
        <v/>
      </c>
      <c r="CS28" s="69" t="str">
        <f t="shared" si="54"/>
        <v/>
      </c>
      <c r="CU28" s="511">
        <f>SUM(SUMIF($AZ$8:$BF$8, {"NON";"NEUT"}, AZ28:BF28))/config!$AC$16</f>
        <v>0.2</v>
      </c>
      <c r="CV28" s="512">
        <f t="shared" si="45"/>
        <v>0.17708333333333329</v>
      </c>
      <c r="CY28" s="67">
        <f>SUM(C32*$CY$108, C139*$CY$109, C246*$CY$110, C353*$CY$111, C460*$CY$112, C567*$CY$113, C674*$CY$114)/config!$AC$16</f>
        <v>0</v>
      </c>
      <c r="CZ28" s="68">
        <f>SUM(SUM(D32:E32)*$CY$108, SUM(D139:E139)*$CY$109, SUM(D246:E246)*$CY$110, SUM(D353:E353)*$CY$111, SUM(D460:E460)*$CY$112, SUM(D567:E567)*$CY$113, SUM(D674:E674)*$CY$114)/config!$AC$16</f>
        <v>0.2</v>
      </c>
      <c r="DA28" s="68">
        <f>SUM(SUM(F32:G32)*$CY$108, SUM(F139:G139)*$CY$109, SUM(F246:G246)*$CY$110, SUM(F353:G353)*$CY$111, SUM(F460:G460)*$CY$112, SUM(F567:G567)*$CY$113, SUM(F674:G674)*$CY$114)/config!$AC$16</f>
        <v>0</v>
      </c>
      <c r="DB28" s="68">
        <f>SUM(H32*$CY$108, H139*$CY$109, H246*$CY$110, H353*$CY$111, H460*$CY$112, H567*$CY$113, H674*$CY$114)/config!$AC$16</f>
        <v>0</v>
      </c>
      <c r="DC28" s="69">
        <f>SUM(SUM(I32:L32)*$CY$108, SUM(I139:L139)*$CY$109, SUM(I246:L246)*$CY$110, SUM(I353:L353)*$CY$111, SUM(I460:L460)*$CY$112, SUM(I567:L567)*$CY$113, SUM(I674:L674)*$CY$114)/config!$AC$16</f>
        <v>0</v>
      </c>
    </row>
    <row r="29" spans="1:107" ht="15" x14ac:dyDescent="0.25">
      <c r="A29" s="190" t="s">
        <v>61</v>
      </c>
      <c r="B29" s="642">
        <v>0</v>
      </c>
      <c r="C29" s="184">
        <v>0</v>
      </c>
      <c r="D29" s="184">
        <v>0</v>
      </c>
      <c r="E29" s="184">
        <v>0</v>
      </c>
      <c r="F29" s="184">
        <v>0</v>
      </c>
      <c r="G29" s="184">
        <v>0</v>
      </c>
      <c r="H29" s="184">
        <v>0</v>
      </c>
      <c r="I29" s="184">
        <v>0</v>
      </c>
      <c r="J29" s="184">
        <v>0</v>
      </c>
      <c r="K29" s="184">
        <v>0</v>
      </c>
      <c r="L29" s="184">
        <v>0</v>
      </c>
      <c r="M29" s="654" t="s">
        <v>24</v>
      </c>
      <c r="N29" s="669" t="s">
        <v>61</v>
      </c>
      <c r="O29" s="642">
        <v>0</v>
      </c>
      <c r="P29" s="184">
        <v>0</v>
      </c>
      <c r="Q29" s="184">
        <v>0</v>
      </c>
      <c r="R29" s="184">
        <v>0</v>
      </c>
      <c r="S29" s="184">
        <v>0</v>
      </c>
      <c r="T29" s="184">
        <v>0</v>
      </c>
      <c r="U29" s="184">
        <v>0</v>
      </c>
      <c r="V29" s="184">
        <v>0</v>
      </c>
      <c r="W29" s="184">
        <v>0</v>
      </c>
      <c r="X29" s="184">
        <v>0</v>
      </c>
      <c r="Y29" s="184">
        <v>0</v>
      </c>
      <c r="Z29" s="184">
        <v>0</v>
      </c>
      <c r="AA29" s="184">
        <v>0</v>
      </c>
      <c r="AB29" s="184">
        <v>0</v>
      </c>
      <c r="AC29" s="185" t="s">
        <v>24</v>
      </c>
      <c r="AD29" s="185" t="s">
        <v>24</v>
      </c>
      <c r="AE29" s="184">
        <v>0</v>
      </c>
      <c r="AF29" s="185">
        <v>0</v>
      </c>
      <c r="AG29" s="184">
        <v>0</v>
      </c>
      <c r="AH29" s="185">
        <v>0</v>
      </c>
      <c r="AI29" s="184">
        <v>0</v>
      </c>
      <c r="AJ29" s="643">
        <v>0</v>
      </c>
      <c r="AP29" s="401">
        <f t="shared" si="40"/>
        <v>0</v>
      </c>
      <c r="AR29" s="56">
        <f t="shared" si="41"/>
        <v>0.18749999999999994</v>
      </c>
      <c r="AS29" s="67">
        <f>SUM(C33,C140,C247,C354,C461,C568,C675)/config!$AC$13</f>
        <v>0</v>
      </c>
      <c r="AT29" s="68">
        <f>SUM(D33:E33,D140:E140,D247:E247,D354:E354,D461:E461,D568:E568,D675:E675)/config!$AC$13</f>
        <v>0.14285714285714285</v>
      </c>
      <c r="AU29" s="68">
        <f>SUM(F33:G33,F140:G140,F247:G247,F354:G354,F461:G461,F568:G568,F675:G675)/config!$AC$13</f>
        <v>0</v>
      </c>
      <c r="AV29" s="68">
        <f>SUM(H33,H140,H247,H354,H461,H568,H675)/config!$AC$13</f>
        <v>0</v>
      </c>
      <c r="AW29" s="69">
        <f>SUM(I33:L33,I140:L140,I247:L247,I354:L354,I461:L461,I568:L568,I675:L675)/config!$AC$13</f>
        <v>0</v>
      </c>
      <c r="AY29" s="56">
        <f t="shared" si="42"/>
        <v>0.18749999999999994</v>
      </c>
      <c r="AZ29" s="70">
        <f t="shared" si="8"/>
        <v>0</v>
      </c>
      <c r="BA29" s="71">
        <f t="shared" si="9"/>
        <v>0</v>
      </c>
      <c r="BB29" s="71">
        <f t="shared" si="10"/>
        <v>0</v>
      </c>
      <c r="BC29" s="71">
        <f t="shared" si="11"/>
        <v>1</v>
      </c>
      <c r="BD29" s="71">
        <f t="shared" si="12"/>
        <v>0</v>
      </c>
      <c r="BE29" s="71">
        <f t="shared" si="13"/>
        <v>0</v>
      </c>
      <c r="BF29" s="72">
        <f t="shared" si="14"/>
        <v>0</v>
      </c>
      <c r="BG29" s="45"/>
      <c r="BH29" s="56">
        <f t="shared" si="15"/>
        <v>0.18749999999999994</v>
      </c>
      <c r="BI29" s="67" t="str">
        <f t="shared" si="16"/>
        <v/>
      </c>
      <c r="BJ29" s="68" t="str">
        <f t="shared" si="17"/>
        <v/>
      </c>
      <c r="BK29" s="68" t="str">
        <f t="shared" si="18"/>
        <v/>
      </c>
      <c r="BL29" s="68">
        <f t="shared" si="19"/>
        <v>48.1</v>
      </c>
      <c r="BM29" s="68" t="str">
        <f t="shared" si="20"/>
        <v/>
      </c>
      <c r="BN29" s="68" t="str">
        <f t="shared" si="21"/>
        <v/>
      </c>
      <c r="BO29" s="69" t="str">
        <f t="shared" si="22"/>
        <v/>
      </c>
      <c r="BP29" s="63"/>
      <c r="BQ29" s="64">
        <f t="shared" si="23"/>
        <v>0.18749999999999994</v>
      </c>
      <c r="BR29" s="67" t="str">
        <f t="shared" si="24"/>
        <v/>
      </c>
      <c r="BS29" s="68" t="str">
        <f t="shared" si="25"/>
        <v/>
      </c>
      <c r="BT29" s="68" t="str">
        <f t="shared" si="26"/>
        <v/>
      </c>
      <c r="BU29" s="68" t="str">
        <f t="shared" si="27"/>
        <v/>
      </c>
      <c r="BV29" s="68" t="str">
        <f t="shared" si="28"/>
        <v/>
      </c>
      <c r="BW29" s="68" t="str">
        <f t="shared" si="29"/>
        <v/>
      </c>
      <c r="BX29" s="69" t="str">
        <f t="shared" si="30"/>
        <v/>
      </c>
      <c r="BY29" s="65"/>
      <c r="BZ29" s="66">
        <f t="shared" si="43"/>
        <v>48.1</v>
      </c>
      <c r="CA29" s="414" t="e">
        <f t="shared" si="31"/>
        <v>#N/A</v>
      </c>
      <c r="CB29" s="416">
        <f t="shared" si="48"/>
        <v>60</v>
      </c>
      <c r="CC29" s="65"/>
      <c r="CD29" s="67">
        <f t="shared" si="32"/>
        <v>0</v>
      </c>
      <c r="CE29" s="68">
        <f t="shared" si="33"/>
        <v>0</v>
      </c>
      <c r="CF29" s="68">
        <f t="shared" si="34"/>
        <v>0</v>
      </c>
      <c r="CG29" s="68">
        <f t="shared" si="35"/>
        <v>0</v>
      </c>
      <c r="CH29" s="68">
        <f t="shared" si="36"/>
        <v>0</v>
      </c>
      <c r="CI29" s="68">
        <f t="shared" si="37"/>
        <v>0</v>
      </c>
      <c r="CJ29" s="69">
        <f t="shared" si="38"/>
        <v>0</v>
      </c>
      <c r="CM29" s="67" t="str">
        <f t="shared" si="44"/>
        <v/>
      </c>
      <c r="CN29" s="68" t="str">
        <f t="shared" si="49"/>
        <v/>
      </c>
      <c r="CO29" s="68" t="str">
        <f t="shared" si="50"/>
        <v/>
      </c>
      <c r="CP29" s="68">
        <f t="shared" si="51"/>
        <v>48.1</v>
      </c>
      <c r="CQ29" s="68" t="str">
        <f t="shared" si="52"/>
        <v/>
      </c>
      <c r="CR29" s="68" t="str">
        <f t="shared" si="53"/>
        <v/>
      </c>
      <c r="CS29" s="69" t="str">
        <f t="shared" si="54"/>
        <v/>
      </c>
      <c r="CU29" s="511">
        <f>SUM(SUMIF($AZ$8:$BF$8, {"NON";"NEUT"}, AZ29:BF29))/config!$AC$16</f>
        <v>0.2</v>
      </c>
      <c r="CV29" s="512">
        <f t="shared" si="45"/>
        <v>0.18749999999999994</v>
      </c>
      <c r="CY29" s="67">
        <f>SUM(C33*$CY$108, C140*$CY$109, C247*$CY$110, C354*$CY$111, C461*$CY$112, C568*$CY$113, C675*$CY$114)/config!$AC$16</f>
        <v>0</v>
      </c>
      <c r="CZ29" s="68">
        <f>SUM(SUM(D33:E33)*$CY$108, SUM(D140:E140)*$CY$109, SUM(D247:E247)*$CY$110, SUM(D354:E354)*$CY$111, SUM(D461:E461)*$CY$112, SUM(D568:E568)*$CY$113, SUM(D675:E675)*$CY$114)/config!$AC$16</f>
        <v>0.2</v>
      </c>
      <c r="DA29" s="68">
        <f>SUM(SUM(F33:G33)*$CY$108, SUM(F140:G140)*$CY$109, SUM(F247:G247)*$CY$110, SUM(F354:G354)*$CY$111, SUM(F461:G461)*$CY$112, SUM(F568:G568)*$CY$113, SUM(F675:G675)*$CY$114)/config!$AC$16</f>
        <v>0</v>
      </c>
      <c r="DB29" s="68">
        <f>SUM(H33*$CY$108, H140*$CY$109, H247*$CY$110, H354*$CY$111, H461*$CY$112, H568*$CY$113, H675*$CY$114)/config!$AC$16</f>
        <v>0</v>
      </c>
      <c r="DC29" s="69">
        <f>SUM(SUM(I33:L33)*$CY$108, SUM(I140:L140)*$CY$109, SUM(I247:L247)*$CY$110, SUM(I354:L354)*$CY$111, SUM(I461:L461)*$CY$112, SUM(I568:L568)*$CY$113, SUM(I675:L675)*$CY$114)/config!$AC$16</f>
        <v>0</v>
      </c>
    </row>
    <row r="30" spans="1:107" ht="15" x14ac:dyDescent="0.25">
      <c r="A30" s="190" t="s">
        <v>63</v>
      </c>
      <c r="B30" s="642">
        <v>1</v>
      </c>
      <c r="C30" s="184">
        <v>0</v>
      </c>
      <c r="D30" s="184">
        <v>1</v>
      </c>
      <c r="E30" s="184">
        <v>0</v>
      </c>
      <c r="F30" s="184">
        <v>0</v>
      </c>
      <c r="G30" s="184">
        <v>0</v>
      </c>
      <c r="H30" s="184">
        <v>0</v>
      </c>
      <c r="I30" s="184">
        <v>0</v>
      </c>
      <c r="J30" s="184">
        <v>0</v>
      </c>
      <c r="K30" s="184">
        <v>0</v>
      </c>
      <c r="L30" s="184">
        <v>0</v>
      </c>
      <c r="M30" s="654" t="s">
        <v>24</v>
      </c>
      <c r="N30" s="669" t="s">
        <v>63</v>
      </c>
      <c r="O30" s="642">
        <v>0</v>
      </c>
      <c r="P30" s="184">
        <v>0</v>
      </c>
      <c r="Q30" s="184">
        <v>0</v>
      </c>
      <c r="R30" s="184">
        <v>0</v>
      </c>
      <c r="S30" s="184">
        <v>0</v>
      </c>
      <c r="T30" s="184">
        <v>0</v>
      </c>
      <c r="U30" s="184">
        <v>0</v>
      </c>
      <c r="V30" s="184">
        <v>1</v>
      </c>
      <c r="W30" s="184">
        <v>0</v>
      </c>
      <c r="X30" s="184">
        <v>0</v>
      </c>
      <c r="Y30" s="184">
        <v>0</v>
      </c>
      <c r="Z30" s="184">
        <v>0</v>
      </c>
      <c r="AA30" s="184">
        <v>0</v>
      </c>
      <c r="AB30" s="184">
        <v>0</v>
      </c>
      <c r="AC30" s="185">
        <v>40.9</v>
      </c>
      <c r="AD30" s="185" t="s">
        <v>24</v>
      </c>
      <c r="AE30" s="184">
        <v>0</v>
      </c>
      <c r="AF30" s="185">
        <v>0</v>
      </c>
      <c r="AG30" s="184">
        <v>0</v>
      </c>
      <c r="AH30" s="185">
        <v>0</v>
      </c>
      <c r="AI30" s="184">
        <v>0</v>
      </c>
      <c r="AJ30" s="643">
        <v>0</v>
      </c>
      <c r="AP30" s="401">
        <f t="shared" si="40"/>
        <v>0</v>
      </c>
      <c r="AR30" s="56">
        <f t="shared" si="41"/>
        <v>0.1979166666666666</v>
      </c>
      <c r="AS30" s="67">
        <f>SUM(C34,C141,C248,C355,C462,C569,C676)/config!$AC$13</f>
        <v>0</v>
      </c>
      <c r="AT30" s="68">
        <f>SUM(D34:E34,D141:E141,D248:E248,D355:E355,D462:E462,D569:E569,D676:E676)/config!$AC$13</f>
        <v>0.2857142857142857</v>
      </c>
      <c r="AU30" s="68">
        <f>SUM(F34:G34,F141:G141,F248:G248,F355:G355,F462:G462,F569:G569,F676:G676)/config!$AC$13</f>
        <v>0</v>
      </c>
      <c r="AV30" s="68">
        <f>SUM(H34,H141,H248,H355,H462,H569,H676)/config!$AC$13</f>
        <v>0</v>
      </c>
      <c r="AW30" s="69">
        <f>SUM(I34:L34,I141:L141,I248:L248,I355:L355,I462:L462,I569:L569,I676:L676)/config!$AC$13</f>
        <v>0</v>
      </c>
      <c r="AY30" s="56">
        <f t="shared" si="42"/>
        <v>0.1979166666666666</v>
      </c>
      <c r="AZ30" s="70">
        <f t="shared" si="8"/>
        <v>0</v>
      </c>
      <c r="BA30" s="71">
        <f t="shared" si="9"/>
        <v>1</v>
      </c>
      <c r="BB30" s="71">
        <f t="shared" si="10"/>
        <v>0</v>
      </c>
      <c r="BC30" s="71">
        <f t="shared" si="11"/>
        <v>0</v>
      </c>
      <c r="BD30" s="71">
        <f t="shared" si="12"/>
        <v>0</v>
      </c>
      <c r="BE30" s="71">
        <f t="shared" si="13"/>
        <v>1</v>
      </c>
      <c r="BF30" s="72">
        <f t="shared" si="14"/>
        <v>0</v>
      </c>
      <c r="BG30" s="45"/>
      <c r="BH30" s="56">
        <f t="shared" si="15"/>
        <v>0.1979166666666666</v>
      </c>
      <c r="BI30" s="67" t="str">
        <f t="shared" si="16"/>
        <v/>
      </c>
      <c r="BJ30" s="68">
        <f t="shared" si="17"/>
        <v>53.6</v>
      </c>
      <c r="BK30" s="68" t="str">
        <f t="shared" si="18"/>
        <v/>
      </c>
      <c r="BL30" s="68" t="str">
        <f t="shared" si="19"/>
        <v/>
      </c>
      <c r="BM30" s="68" t="str">
        <f t="shared" si="20"/>
        <v/>
      </c>
      <c r="BN30" s="68">
        <f t="shared" si="21"/>
        <v>47.2</v>
      </c>
      <c r="BO30" s="69" t="str">
        <f t="shared" si="22"/>
        <v/>
      </c>
      <c r="BP30" s="63"/>
      <c r="BQ30" s="64">
        <f t="shared" si="23"/>
        <v>0.1979166666666666</v>
      </c>
      <c r="BR30" s="67" t="str">
        <f t="shared" si="24"/>
        <v/>
      </c>
      <c r="BS30" s="68" t="str">
        <f t="shared" si="25"/>
        <v/>
      </c>
      <c r="BT30" s="68" t="str">
        <f t="shared" si="26"/>
        <v/>
      </c>
      <c r="BU30" s="68" t="str">
        <f t="shared" si="27"/>
        <v/>
      </c>
      <c r="BV30" s="68" t="str">
        <f t="shared" si="28"/>
        <v/>
      </c>
      <c r="BW30" s="68" t="str">
        <f t="shared" si="29"/>
        <v/>
      </c>
      <c r="BX30" s="69" t="str">
        <f t="shared" si="30"/>
        <v/>
      </c>
      <c r="BY30" s="65"/>
      <c r="BZ30" s="66">
        <f t="shared" si="43"/>
        <v>50.400000000000006</v>
      </c>
      <c r="CA30" s="414" t="e">
        <f t="shared" si="31"/>
        <v>#N/A</v>
      </c>
      <c r="CB30" s="416">
        <f t="shared" si="48"/>
        <v>60</v>
      </c>
      <c r="CC30" s="65"/>
      <c r="CD30" s="67">
        <f t="shared" si="32"/>
        <v>0</v>
      </c>
      <c r="CE30" s="68">
        <f t="shared" si="33"/>
        <v>0</v>
      </c>
      <c r="CF30" s="68">
        <f t="shared" si="34"/>
        <v>0</v>
      </c>
      <c r="CG30" s="68">
        <f t="shared" si="35"/>
        <v>0</v>
      </c>
      <c r="CH30" s="68">
        <f t="shared" si="36"/>
        <v>0</v>
      </c>
      <c r="CI30" s="68">
        <f t="shared" si="37"/>
        <v>0</v>
      </c>
      <c r="CJ30" s="69">
        <f t="shared" si="38"/>
        <v>0</v>
      </c>
      <c r="CM30" s="67" t="str">
        <f t="shared" si="44"/>
        <v/>
      </c>
      <c r="CN30" s="68">
        <f t="shared" si="49"/>
        <v>53.6</v>
      </c>
      <c r="CO30" s="68" t="str">
        <f t="shared" si="50"/>
        <v/>
      </c>
      <c r="CP30" s="68" t="str">
        <f t="shared" si="51"/>
        <v/>
      </c>
      <c r="CQ30" s="68" t="str">
        <f t="shared" si="52"/>
        <v/>
      </c>
      <c r="CR30" s="68">
        <f t="shared" si="53"/>
        <v>47.2</v>
      </c>
      <c r="CS30" s="69" t="str">
        <f t="shared" si="54"/>
        <v/>
      </c>
      <c r="CU30" s="511">
        <f>SUM(SUMIF($AZ$8:$BF$8, {"NON";"NEUT"}, AZ30:BF30))/config!$AC$16</f>
        <v>0.2</v>
      </c>
      <c r="CV30" s="512">
        <f t="shared" si="45"/>
        <v>0.1979166666666666</v>
      </c>
      <c r="CY30" s="67">
        <f>SUM(C34*$CY$108, C141*$CY$109, C248*$CY$110, C355*$CY$111, C462*$CY$112, C569*$CY$113, C676*$CY$114)/config!$AC$16</f>
        <v>0</v>
      </c>
      <c r="CZ30" s="68">
        <f>SUM(SUM(D34:E34)*$CY$108, SUM(D141:E141)*$CY$109, SUM(D248:E248)*$CY$110, SUM(D355:E355)*$CY$111, SUM(D462:E462)*$CY$112, SUM(D569:E569)*$CY$113, SUM(D676:E676)*$CY$114)/config!$AC$16</f>
        <v>0.2</v>
      </c>
      <c r="DA30" s="68">
        <f>SUM(SUM(F34:G34)*$CY$108, SUM(F141:G141)*$CY$109, SUM(F248:G248)*$CY$110, SUM(F355:G355)*$CY$111, SUM(F462:G462)*$CY$112, SUM(F569:G569)*$CY$113, SUM(F676:G676)*$CY$114)/config!$AC$16</f>
        <v>0</v>
      </c>
      <c r="DB30" s="68">
        <f>SUM(H34*$CY$108, H141*$CY$109, H248*$CY$110, H355*$CY$111, H462*$CY$112, H569*$CY$113, H676*$CY$114)/config!$AC$16</f>
        <v>0</v>
      </c>
      <c r="DC30" s="69">
        <f>SUM(SUM(I34:L34)*$CY$108, SUM(I141:L141)*$CY$109, SUM(I248:L248)*$CY$110, SUM(I355:L355)*$CY$111, SUM(I462:L462)*$CY$112, SUM(I569:L569)*$CY$113, SUM(I676:L676)*$CY$114)/config!$AC$16</f>
        <v>0</v>
      </c>
    </row>
    <row r="31" spans="1:107" ht="15" x14ac:dyDescent="0.25">
      <c r="A31" s="190" t="s">
        <v>44</v>
      </c>
      <c r="B31" s="642">
        <v>0</v>
      </c>
      <c r="C31" s="184">
        <v>0</v>
      </c>
      <c r="D31" s="184">
        <v>0</v>
      </c>
      <c r="E31" s="184">
        <v>0</v>
      </c>
      <c r="F31" s="184">
        <v>0</v>
      </c>
      <c r="G31" s="184">
        <v>0</v>
      </c>
      <c r="H31" s="184">
        <v>0</v>
      </c>
      <c r="I31" s="184">
        <v>0</v>
      </c>
      <c r="J31" s="184">
        <v>0</v>
      </c>
      <c r="K31" s="184">
        <v>0</v>
      </c>
      <c r="L31" s="184">
        <v>0</v>
      </c>
      <c r="M31" s="654" t="s">
        <v>24</v>
      </c>
      <c r="N31" s="669" t="s">
        <v>44</v>
      </c>
      <c r="O31" s="642">
        <v>0</v>
      </c>
      <c r="P31" s="184">
        <v>0</v>
      </c>
      <c r="Q31" s="184">
        <v>0</v>
      </c>
      <c r="R31" s="184">
        <v>0</v>
      </c>
      <c r="S31" s="184">
        <v>0</v>
      </c>
      <c r="T31" s="184">
        <v>0</v>
      </c>
      <c r="U31" s="184">
        <v>0</v>
      </c>
      <c r="V31" s="184">
        <v>0</v>
      </c>
      <c r="W31" s="184">
        <v>0</v>
      </c>
      <c r="X31" s="184">
        <v>0</v>
      </c>
      <c r="Y31" s="184">
        <v>0</v>
      </c>
      <c r="Z31" s="184">
        <v>0</v>
      </c>
      <c r="AA31" s="184">
        <v>0</v>
      </c>
      <c r="AB31" s="184">
        <v>0</v>
      </c>
      <c r="AC31" s="185" t="s">
        <v>24</v>
      </c>
      <c r="AD31" s="185" t="s">
        <v>24</v>
      </c>
      <c r="AE31" s="184">
        <v>0</v>
      </c>
      <c r="AF31" s="185">
        <v>0</v>
      </c>
      <c r="AG31" s="184">
        <v>0</v>
      </c>
      <c r="AH31" s="185">
        <v>0</v>
      </c>
      <c r="AI31" s="184">
        <v>0</v>
      </c>
      <c r="AJ31" s="643">
        <v>0</v>
      </c>
      <c r="AP31" s="401">
        <f t="shared" si="40"/>
        <v>1</v>
      </c>
      <c r="AR31" s="56">
        <f t="shared" si="41"/>
        <v>0.20833333333333326</v>
      </c>
      <c r="AS31" s="67">
        <f>SUM(C35,C142,C249,C356,C463,C570,C677)/config!$AC$13</f>
        <v>0</v>
      </c>
      <c r="AT31" s="68">
        <f>SUM(D35:E35,D142:E142,D249:E249,D356:E356,D463:E463,D570:E570,D677:E677)/config!$AC$13</f>
        <v>0.14285714285714285</v>
      </c>
      <c r="AU31" s="68">
        <f>SUM(F35:G35,F142:G142,F249:G249,F356:G356,F463:G463,F570:G570,F677:G677)/config!$AC$13</f>
        <v>0.14285714285714285</v>
      </c>
      <c r="AV31" s="68">
        <f>SUM(H35,H142,H249,H356,H463,H570,H677)/config!$AC$13</f>
        <v>0</v>
      </c>
      <c r="AW31" s="69">
        <f>SUM(I35:L35,I142:L142,I249:L249,I356:L356,I463:L463,I570:L570,I677:L677)/config!$AC$13</f>
        <v>0</v>
      </c>
      <c r="AY31" s="56">
        <f t="shared" si="42"/>
        <v>0.20833333333333326</v>
      </c>
      <c r="AZ31" s="70">
        <f t="shared" si="8"/>
        <v>0</v>
      </c>
      <c r="BA31" s="71">
        <f t="shared" si="9"/>
        <v>0</v>
      </c>
      <c r="BB31" s="71">
        <f t="shared" si="10"/>
        <v>0</v>
      </c>
      <c r="BC31" s="71">
        <f t="shared" si="11"/>
        <v>1</v>
      </c>
      <c r="BD31" s="71">
        <f t="shared" si="12"/>
        <v>0</v>
      </c>
      <c r="BE31" s="71">
        <f t="shared" si="13"/>
        <v>1</v>
      </c>
      <c r="BF31" s="72">
        <f t="shared" si="14"/>
        <v>0</v>
      </c>
      <c r="BG31" s="45"/>
      <c r="BH31" s="56">
        <f t="shared" si="15"/>
        <v>0.20833333333333326</v>
      </c>
      <c r="BI31" s="67" t="str">
        <f t="shared" si="16"/>
        <v/>
      </c>
      <c r="BJ31" s="68" t="str">
        <f t="shared" si="17"/>
        <v/>
      </c>
      <c r="BK31" s="68" t="str">
        <f t="shared" si="18"/>
        <v/>
      </c>
      <c r="BL31" s="68">
        <f t="shared" si="19"/>
        <v>42</v>
      </c>
      <c r="BM31" s="68" t="str">
        <f t="shared" si="20"/>
        <v/>
      </c>
      <c r="BN31" s="68">
        <f t="shared" si="21"/>
        <v>29.6</v>
      </c>
      <c r="BO31" s="69" t="str">
        <f t="shared" si="22"/>
        <v/>
      </c>
      <c r="BP31" s="63"/>
      <c r="BQ31" s="64">
        <f t="shared" si="23"/>
        <v>0.20833333333333326</v>
      </c>
      <c r="BR31" s="67" t="str">
        <f t="shared" si="24"/>
        <v/>
      </c>
      <c r="BS31" s="68" t="str">
        <f t="shared" si="25"/>
        <v/>
      </c>
      <c r="BT31" s="68" t="str">
        <f t="shared" si="26"/>
        <v/>
      </c>
      <c r="BU31" s="68" t="str">
        <f t="shared" si="27"/>
        <v/>
      </c>
      <c r="BV31" s="68" t="str">
        <f t="shared" si="28"/>
        <v/>
      </c>
      <c r="BW31" s="68" t="str">
        <f t="shared" si="29"/>
        <v/>
      </c>
      <c r="BX31" s="69" t="str">
        <f t="shared" si="30"/>
        <v/>
      </c>
      <c r="BY31" s="65"/>
      <c r="BZ31" s="66">
        <f t="shared" si="43"/>
        <v>35.799999999999997</v>
      </c>
      <c r="CA31" s="414" t="e">
        <f t="shared" si="31"/>
        <v>#N/A</v>
      </c>
      <c r="CB31" s="416">
        <f t="shared" si="48"/>
        <v>60</v>
      </c>
      <c r="CC31" s="65"/>
      <c r="CD31" s="67">
        <f t="shared" si="32"/>
        <v>0</v>
      </c>
      <c r="CE31" s="68">
        <f t="shared" si="33"/>
        <v>0</v>
      </c>
      <c r="CF31" s="68">
        <f t="shared" si="34"/>
        <v>0</v>
      </c>
      <c r="CG31" s="68">
        <f t="shared" si="35"/>
        <v>0</v>
      </c>
      <c r="CH31" s="68">
        <f t="shared" si="36"/>
        <v>0</v>
      </c>
      <c r="CI31" s="68">
        <f t="shared" si="37"/>
        <v>0</v>
      </c>
      <c r="CJ31" s="69">
        <f t="shared" si="38"/>
        <v>0</v>
      </c>
      <c r="CM31" s="67" t="str">
        <f t="shared" si="44"/>
        <v/>
      </c>
      <c r="CN31" s="68" t="str">
        <f t="shared" si="49"/>
        <v/>
      </c>
      <c r="CO31" s="68" t="str">
        <f t="shared" si="50"/>
        <v/>
      </c>
      <c r="CP31" s="68">
        <f t="shared" si="51"/>
        <v>42</v>
      </c>
      <c r="CQ31" s="68" t="str">
        <f t="shared" si="52"/>
        <v/>
      </c>
      <c r="CR31" s="68">
        <f t="shared" si="53"/>
        <v>29.6</v>
      </c>
      <c r="CS31" s="69" t="str">
        <f t="shared" si="54"/>
        <v/>
      </c>
      <c r="CU31" s="511">
        <f>SUM(SUMIF($AZ$8:$BF$8, {"NON";"NEUT"}, AZ31:BF31))/config!$AC$16</f>
        <v>0.2</v>
      </c>
      <c r="CV31" s="512">
        <f t="shared" si="45"/>
        <v>0.20833333333333326</v>
      </c>
      <c r="CY31" s="67">
        <f>SUM(C35*$CY$108, C142*$CY$109, C249*$CY$110, C356*$CY$111, C463*$CY$112, C570*$CY$113, C677*$CY$114)/config!$AC$16</f>
        <v>0</v>
      </c>
      <c r="CZ31" s="68">
        <f>SUM(SUM(D35:E35)*$CY$108, SUM(D142:E142)*$CY$109, SUM(D249:E249)*$CY$110, SUM(D356:E356)*$CY$111, SUM(D463:E463)*$CY$112, SUM(D570:E570)*$CY$113, SUM(D677:E677)*$CY$114)/config!$AC$16</f>
        <v>0</v>
      </c>
      <c r="DA31" s="68">
        <f>SUM(SUM(F35:G35)*$CY$108, SUM(F142:G142)*$CY$109, SUM(F249:G249)*$CY$110, SUM(F356:G356)*$CY$111, SUM(F463:G463)*$CY$112, SUM(F570:G570)*$CY$113, SUM(F677:G677)*$CY$114)/config!$AC$16</f>
        <v>0.2</v>
      </c>
      <c r="DB31" s="68">
        <f>SUM(H35*$CY$108, H142*$CY$109, H249*$CY$110, H356*$CY$111, H463*$CY$112, H570*$CY$113, H677*$CY$114)/config!$AC$16</f>
        <v>0</v>
      </c>
      <c r="DC31" s="69">
        <f>SUM(SUM(I35:L35)*$CY$108, SUM(I142:L142)*$CY$109, SUM(I249:L249)*$CY$110, SUM(I356:L356)*$CY$111, SUM(I463:L463)*$CY$112, SUM(I570:L570)*$CY$113, SUM(I677:L677)*$CY$114)/config!$AC$16</f>
        <v>0</v>
      </c>
    </row>
    <row r="32" spans="1:107" ht="15" x14ac:dyDescent="0.25">
      <c r="A32" s="190" t="s">
        <v>66</v>
      </c>
      <c r="B32" s="642">
        <v>0</v>
      </c>
      <c r="C32" s="184">
        <v>0</v>
      </c>
      <c r="D32" s="184">
        <v>0</v>
      </c>
      <c r="E32" s="184">
        <v>0</v>
      </c>
      <c r="F32" s="184">
        <v>0</v>
      </c>
      <c r="G32" s="184">
        <v>0</v>
      </c>
      <c r="H32" s="184">
        <v>0</v>
      </c>
      <c r="I32" s="184">
        <v>0</v>
      </c>
      <c r="J32" s="184">
        <v>0</v>
      </c>
      <c r="K32" s="184">
        <v>0</v>
      </c>
      <c r="L32" s="184">
        <v>0</v>
      </c>
      <c r="M32" s="654" t="s">
        <v>24</v>
      </c>
      <c r="N32" s="669" t="s">
        <v>66</v>
      </c>
      <c r="O32" s="642">
        <v>0</v>
      </c>
      <c r="P32" s="184">
        <v>0</v>
      </c>
      <c r="Q32" s="184">
        <v>0</v>
      </c>
      <c r="R32" s="184">
        <v>0</v>
      </c>
      <c r="S32" s="184">
        <v>0</v>
      </c>
      <c r="T32" s="184">
        <v>0</v>
      </c>
      <c r="U32" s="184">
        <v>0</v>
      </c>
      <c r="V32" s="184">
        <v>0</v>
      </c>
      <c r="W32" s="184">
        <v>0</v>
      </c>
      <c r="X32" s="184">
        <v>0</v>
      </c>
      <c r="Y32" s="184">
        <v>0</v>
      </c>
      <c r="Z32" s="184">
        <v>0</v>
      </c>
      <c r="AA32" s="184">
        <v>0</v>
      </c>
      <c r="AB32" s="184">
        <v>0</v>
      </c>
      <c r="AC32" s="185" t="s">
        <v>24</v>
      </c>
      <c r="AD32" s="185" t="s">
        <v>24</v>
      </c>
      <c r="AE32" s="184">
        <v>0</v>
      </c>
      <c r="AF32" s="185">
        <v>0</v>
      </c>
      <c r="AG32" s="184">
        <v>0</v>
      </c>
      <c r="AH32" s="185">
        <v>0</v>
      </c>
      <c r="AI32" s="184">
        <v>0</v>
      </c>
      <c r="AJ32" s="643">
        <v>0</v>
      </c>
      <c r="AP32" s="401">
        <f t="shared" si="40"/>
        <v>0</v>
      </c>
      <c r="AR32" s="56">
        <f t="shared" si="41"/>
        <v>0.21874999999999992</v>
      </c>
      <c r="AS32" s="67">
        <f>SUM(C36,C143,C250,C357,C464,C571,C678)/config!$AC$13</f>
        <v>0</v>
      </c>
      <c r="AT32" s="68">
        <f>SUM(D36:E36,D143:E143,D250:E250,D357:E357,D464:E464,D571:E571,D678:E678)/config!$AC$13</f>
        <v>0.5714285714285714</v>
      </c>
      <c r="AU32" s="68">
        <f>SUM(F36:G36,F143:G143,F250:G250,F357:G357,F464:G464,F571:G571,F678:G678)/config!$AC$13</f>
        <v>0</v>
      </c>
      <c r="AV32" s="68">
        <f>SUM(H36,H143,H250,H357,H464,H571,H678)/config!$AC$13</f>
        <v>0</v>
      </c>
      <c r="AW32" s="69">
        <f>SUM(I36:L36,I143:L143,I250:L250,I357:L357,I464:L464,I571:L571,I678:L678)/config!$AC$13</f>
        <v>0</v>
      </c>
      <c r="AY32" s="56">
        <f t="shared" si="42"/>
        <v>0.21874999999999992</v>
      </c>
      <c r="AZ32" s="70">
        <f t="shared" si="8"/>
        <v>1</v>
      </c>
      <c r="BA32" s="71">
        <f t="shared" si="9"/>
        <v>1</v>
      </c>
      <c r="BB32" s="71">
        <f t="shared" si="10"/>
        <v>1</v>
      </c>
      <c r="BC32" s="71">
        <f t="shared" si="11"/>
        <v>1</v>
      </c>
      <c r="BD32" s="71">
        <f t="shared" si="12"/>
        <v>0</v>
      </c>
      <c r="BE32" s="71">
        <f t="shared" si="13"/>
        <v>0</v>
      </c>
      <c r="BF32" s="72">
        <f t="shared" si="14"/>
        <v>0</v>
      </c>
      <c r="BG32" s="45"/>
      <c r="BH32" s="56">
        <f t="shared" si="15"/>
        <v>0.21874999999999992</v>
      </c>
      <c r="BI32" s="67">
        <f t="shared" si="16"/>
        <v>36.700000000000003</v>
      </c>
      <c r="BJ32" s="68">
        <f t="shared" si="17"/>
        <v>36.200000000000003</v>
      </c>
      <c r="BK32" s="68">
        <f t="shared" si="18"/>
        <v>39.5</v>
      </c>
      <c r="BL32" s="68">
        <f t="shared" si="19"/>
        <v>38.700000000000003</v>
      </c>
      <c r="BM32" s="68" t="str">
        <f t="shared" si="20"/>
        <v/>
      </c>
      <c r="BN32" s="68" t="str">
        <f t="shared" si="21"/>
        <v/>
      </c>
      <c r="BO32" s="69" t="str">
        <f t="shared" si="22"/>
        <v/>
      </c>
      <c r="BP32" s="63"/>
      <c r="BQ32" s="64">
        <f t="shared" si="23"/>
        <v>0.21874999999999992</v>
      </c>
      <c r="BR32" s="67" t="str">
        <f t="shared" si="24"/>
        <v/>
      </c>
      <c r="BS32" s="68" t="str">
        <f t="shared" si="25"/>
        <v/>
      </c>
      <c r="BT32" s="68" t="str">
        <f t="shared" si="26"/>
        <v/>
      </c>
      <c r="BU32" s="68" t="str">
        <f t="shared" si="27"/>
        <v/>
      </c>
      <c r="BV32" s="68" t="str">
        <f t="shared" si="28"/>
        <v/>
      </c>
      <c r="BW32" s="68" t="str">
        <f t="shared" si="29"/>
        <v/>
      </c>
      <c r="BX32" s="69" t="str">
        <f t="shared" si="30"/>
        <v/>
      </c>
      <c r="BY32" s="65"/>
      <c r="BZ32" s="66">
        <f t="shared" si="43"/>
        <v>37.775000000000006</v>
      </c>
      <c r="CA32" s="414" t="e">
        <f t="shared" si="31"/>
        <v>#N/A</v>
      </c>
      <c r="CB32" s="416">
        <f t="shared" si="48"/>
        <v>60</v>
      </c>
      <c r="CC32" s="65"/>
      <c r="CD32" s="67">
        <f t="shared" si="32"/>
        <v>0</v>
      </c>
      <c r="CE32" s="68">
        <f t="shared" si="33"/>
        <v>0</v>
      </c>
      <c r="CF32" s="68">
        <f t="shared" si="34"/>
        <v>0</v>
      </c>
      <c r="CG32" s="68">
        <f t="shared" si="35"/>
        <v>0</v>
      </c>
      <c r="CH32" s="68">
        <f t="shared" si="36"/>
        <v>0</v>
      </c>
      <c r="CI32" s="68">
        <f t="shared" si="37"/>
        <v>0</v>
      </c>
      <c r="CJ32" s="69">
        <f t="shared" si="38"/>
        <v>0</v>
      </c>
      <c r="CM32" s="67">
        <f t="shared" si="44"/>
        <v>36.700000000000003</v>
      </c>
      <c r="CN32" s="68">
        <f t="shared" si="49"/>
        <v>36.200000000000003</v>
      </c>
      <c r="CO32" s="68">
        <f t="shared" si="50"/>
        <v>39.5</v>
      </c>
      <c r="CP32" s="68">
        <f t="shared" si="51"/>
        <v>38.700000000000003</v>
      </c>
      <c r="CQ32" s="68" t="str">
        <f t="shared" si="52"/>
        <v/>
      </c>
      <c r="CR32" s="68" t="str">
        <f t="shared" si="53"/>
        <v/>
      </c>
      <c r="CS32" s="69" t="str">
        <f t="shared" si="54"/>
        <v/>
      </c>
      <c r="CU32" s="511">
        <f>SUM(SUMIF($AZ$8:$BF$8, {"NON";"NEUT"}, AZ32:BF32))/config!$AC$16</f>
        <v>0.8</v>
      </c>
      <c r="CV32" s="512">
        <f t="shared" si="45"/>
        <v>0.21874999999999992</v>
      </c>
      <c r="CY32" s="67">
        <f>SUM(C36*$CY$108, C143*$CY$109, C250*$CY$110, C357*$CY$111, C464*$CY$112, C571*$CY$113, C678*$CY$114)/config!$AC$16</f>
        <v>0</v>
      </c>
      <c r="CZ32" s="68">
        <f>SUM(SUM(D36:E36)*$CY$108, SUM(D143:E143)*$CY$109, SUM(D250:E250)*$CY$110, SUM(D357:E357)*$CY$111, SUM(D464:E464)*$CY$112, SUM(D571:E571)*$CY$113, SUM(D678:E678)*$CY$114)/config!$AC$16</f>
        <v>0.8</v>
      </c>
      <c r="DA32" s="68">
        <f>SUM(SUM(F36:G36)*$CY$108, SUM(F143:G143)*$CY$109, SUM(F250:G250)*$CY$110, SUM(F357:G357)*$CY$111, SUM(F464:G464)*$CY$112, SUM(F571:G571)*$CY$113, SUM(F678:G678)*$CY$114)/config!$AC$16</f>
        <v>0</v>
      </c>
      <c r="DB32" s="68">
        <f>SUM(H36*$CY$108, H143*$CY$109, H250*$CY$110, H357*$CY$111, H464*$CY$112, H571*$CY$113, H678*$CY$114)/config!$AC$16</f>
        <v>0</v>
      </c>
      <c r="DC32" s="69">
        <f>SUM(SUM(I36:L36)*$CY$108, SUM(I143:L143)*$CY$109, SUM(I250:L250)*$CY$110, SUM(I357:L357)*$CY$111, SUM(I464:L464)*$CY$112, SUM(I571:L571)*$CY$113, SUM(I678:L678)*$CY$114)/config!$AC$16</f>
        <v>0</v>
      </c>
    </row>
    <row r="33" spans="1:107" ht="15" x14ac:dyDescent="0.25">
      <c r="A33" s="190" t="s">
        <v>68</v>
      </c>
      <c r="B33" s="642">
        <v>0</v>
      </c>
      <c r="C33" s="184">
        <v>0</v>
      </c>
      <c r="D33" s="184">
        <v>0</v>
      </c>
      <c r="E33" s="184">
        <v>0</v>
      </c>
      <c r="F33" s="184">
        <v>0</v>
      </c>
      <c r="G33" s="184">
        <v>0</v>
      </c>
      <c r="H33" s="184">
        <v>0</v>
      </c>
      <c r="I33" s="184">
        <v>0</v>
      </c>
      <c r="J33" s="184">
        <v>0</v>
      </c>
      <c r="K33" s="184">
        <v>0</v>
      </c>
      <c r="L33" s="184">
        <v>0</v>
      </c>
      <c r="M33" s="654" t="s">
        <v>24</v>
      </c>
      <c r="N33" s="669" t="s">
        <v>68</v>
      </c>
      <c r="O33" s="642">
        <v>0</v>
      </c>
      <c r="P33" s="184">
        <v>0</v>
      </c>
      <c r="Q33" s="184">
        <v>0</v>
      </c>
      <c r="R33" s="184">
        <v>0</v>
      </c>
      <c r="S33" s="184">
        <v>0</v>
      </c>
      <c r="T33" s="184">
        <v>0</v>
      </c>
      <c r="U33" s="184">
        <v>0</v>
      </c>
      <c r="V33" s="184">
        <v>0</v>
      </c>
      <c r="W33" s="184">
        <v>0</v>
      </c>
      <c r="X33" s="184">
        <v>0</v>
      </c>
      <c r="Y33" s="184">
        <v>0</v>
      </c>
      <c r="Z33" s="184">
        <v>0</v>
      </c>
      <c r="AA33" s="184">
        <v>0</v>
      </c>
      <c r="AB33" s="184">
        <v>0</v>
      </c>
      <c r="AC33" s="185" t="s">
        <v>24</v>
      </c>
      <c r="AD33" s="185" t="s">
        <v>24</v>
      </c>
      <c r="AE33" s="184">
        <v>0</v>
      </c>
      <c r="AF33" s="185">
        <v>0</v>
      </c>
      <c r="AG33" s="184">
        <v>0</v>
      </c>
      <c r="AH33" s="185">
        <v>0</v>
      </c>
      <c r="AI33" s="184">
        <v>0</v>
      </c>
      <c r="AJ33" s="643">
        <v>0</v>
      </c>
      <c r="AP33" s="401">
        <f t="shared" si="40"/>
        <v>1</v>
      </c>
      <c r="AR33" s="56">
        <f t="shared" si="41"/>
        <v>0.22916666666666657</v>
      </c>
      <c r="AS33" s="67">
        <f>SUM(C37,C144,C251,C358,C465,C572,C679)/config!$AC$13</f>
        <v>0</v>
      </c>
      <c r="AT33" s="68">
        <f>SUM(D37:E37,D144:E144,D251:E251,D358:E358,D465:E465,D572:E572,D679:E679)/config!$AC$13</f>
        <v>0.5714285714285714</v>
      </c>
      <c r="AU33" s="68">
        <f>SUM(F37:G37,F144:G144,F251:G251,F358:G358,F465:G465,F572:G572,F679:G679)/config!$AC$13</f>
        <v>0.14285714285714285</v>
      </c>
      <c r="AV33" s="68">
        <f>SUM(H37,H144,H251,H358,H465,H572,H679)/config!$AC$13</f>
        <v>0</v>
      </c>
      <c r="AW33" s="69">
        <f>SUM(I37:L37,I144:L144,I251:L251,I358:L358,I465:L465,I572:L572,I679:L679)/config!$AC$13</f>
        <v>0</v>
      </c>
      <c r="AY33" s="56">
        <f t="shared" si="42"/>
        <v>0.22916666666666657</v>
      </c>
      <c r="AZ33" s="70">
        <f t="shared" si="8"/>
        <v>1</v>
      </c>
      <c r="BA33" s="71">
        <f t="shared" si="9"/>
        <v>2</v>
      </c>
      <c r="BB33" s="71">
        <f t="shared" si="10"/>
        <v>1</v>
      </c>
      <c r="BC33" s="71">
        <f t="shared" si="11"/>
        <v>1</v>
      </c>
      <c r="BD33" s="71">
        <f t="shared" si="12"/>
        <v>0</v>
      </c>
      <c r="BE33" s="71">
        <f t="shared" si="13"/>
        <v>0</v>
      </c>
      <c r="BF33" s="72">
        <f t="shared" si="14"/>
        <v>0</v>
      </c>
      <c r="BG33" s="45"/>
      <c r="BH33" s="56">
        <f t="shared" si="15"/>
        <v>0.22916666666666657</v>
      </c>
      <c r="BI33" s="67">
        <f t="shared" si="16"/>
        <v>37.9</v>
      </c>
      <c r="BJ33" s="68">
        <f t="shared" si="17"/>
        <v>40.799999999999997</v>
      </c>
      <c r="BK33" s="68">
        <f t="shared" si="18"/>
        <v>39.5</v>
      </c>
      <c r="BL33" s="68">
        <f t="shared" si="19"/>
        <v>61.6</v>
      </c>
      <c r="BM33" s="68" t="str">
        <f t="shared" si="20"/>
        <v/>
      </c>
      <c r="BN33" s="68" t="str">
        <f t="shared" si="21"/>
        <v/>
      </c>
      <c r="BO33" s="69" t="str">
        <f t="shared" si="22"/>
        <v/>
      </c>
      <c r="BP33" s="63"/>
      <c r="BQ33" s="64">
        <f t="shared" si="23"/>
        <v>0.22916666666666657</v>
      </c>
      <c r="BR33" s="67" t="str">
        <f t="shared" si="24"/>
        <v/>
      </c>
      <c r="BS33" s="68" t="str">
        <f t="shared" si="25"/>
        <v/>
      </c>
      <c r="BT33" s="68" t="str">
        <f t="shared" si="26"/>
        <v/>
      </c>
      <c r="BU33" s="68" t="str">
        <f t="shared" si="27"/>
        <v/>
      </c>
      <c r="BV33" s="68" t="str">
        <f t="shared" si="28"/>
        <v/>
      </c>
      <c r="BW33" s="68" t="str">
        <f t="shared" si="29"/>
        <v/>
      </c>
      <c r="BX33" s="69" t="str">
        <f t="shared" si="30"/>
        <v/>
      </c>
      <c r="BY33" s="65"/>
      <c r="BZ33" s="66">
        <f t="shared" si="43"/>
        <v>44.949999999999996</v>
      </c>
      <c r="CA33" s="414" t="e">
        <f t="shared" si="31"/>
        <v>#N/A</v>
      </c>
      <c r="CB33" s="416">
        <f t="shared" si="48"/>
        <v>60</v>
      </c>
      <c r="CC33" s="65"/>
      <c r="CD33" s="67">
        <f t="shared" si="32"/>
        <v>0</v>
      </c>
      <c r="CE33" s="68">
        <f t="shared" si="33"/>
        <v>0</v>
      </c>
      <c r="CF33" s="68">
        <f t="shared" si="34"/>
        <v>0</v>
      </c>
      <c r="CG33" s="68">
        <f t="shared" si="35"/>
        <v>1</v>
      </c>
      <c r="CH33" s="68">
        <f t="shared" si="36"/>
        <v>0</v>
      </c>
      <c r="CI33" s="68">
        <f t="shared" si="37"/>
        <v>0</v>
      </c>
      <c r="CJ33" s="69">
        <f t="shared" si="38"/>
        <v>0</v>
      </c>
      <c r="CM33" s="67">
        <f t="shared" si="44"/>
        <v>37.9</v>
      </c>
      <c r="CN33" s="68">
        <f t="shared" si="49"/>
        <v>81.599999999999994</v>
      </c>
      <c r="CO33" s="68">
        <f t="shared" si="50"/>
        <v>39.5</v>
      </c>
      <c r="CP33" s="68">
        <f t="shared" si="51"/>
        <v>61.6</v>
      </c>
      <c r="CQ33" s="68" t="str">
        <f t="shared" si="52"/>
        <v/>
      </c>
      <c r="CR33" s="68" t="str">
        <f t="shared" si="53"/>
        <v/>
      </c>
      <c r="CS33" s="69" t="str">
        <f t="shared" si="54"/>
        <v/>
      </c>
      <c r="CU33" s="511">
        <f>SUM(SUMIF($AZ$8:$BF$8, {"NON";"NEUT"}, AZ33:BF33))/config!$AC$16</f>
        <v>1</v>
      </c>
      <c r="CV33" s="512">
        <f t="shared" si="45"/>
        <v>0.22916666666666657</v>
      </c>
      <c r="CY33" s="67">
        <f>SUM(C37*$CY$108, C144*$CY$109, C251*$CY$110, C358*$CY$111, C465*$CY$112, C572*$CY$113, C679*$CY$114)/config!$AC$16</f>
        <v>0</v>
      </c>
      <c r="CZ33" s="68">
        <f>SUM(SUM(D37:E37)*$CY$108, SUM(D144:E144)*$CY$109, SUM(D251:E251)*$CY$110, SUM(D358:E358)*$CY$111, SUM(D465:E465)*$CY$112, SUM(D572:E572)*$CY$113, SUM(D679:E679)*$CY$114)/config!$AC$16</f>
        <v>0.8</v>
      </c>
      <c r="DA33" s="68">
        <f>SUM(SUM(F37:G37)*$CY$108, SUM(F144:G144)*$CY$109, SUM(F251:G251)*$CY$110, SUM(F358:G358)*$CY$111, SUM(F465:G465)*$CY$112, SUM(F572:G572)*$CY$113, SUM(F679:G679)*$CY$114)/config!$AC$16</f>
        <v>0.2</v>
      </c>
      <c r="DB33" s="68">
        <f>SUM(H37*$CY$108, H144*$CY$109, H251*$CY$110, H358*$CY$111, H465*$CY$112, H572*$CY$113, H679*$CY$114)/config!$AC$16</f>
        <v>0</v>
      </c>
      <c r="DC33" s="69">
        <f>SUM(SUM(I37:L37)*$CY$108, SUM(I144:L144)*$CY$109, SUM(I251:L251)*$CY$110, SUM(I358:L358)*$CY$111, SUM(I465:L465)*$CY$112, SUM(I572:L572)*$CY$113, SUM(I679:L679)*$CY$114)/config!$AC$16</f>
        <v>0</v>
      </c>
    </row>
    <row r="34" spans="1:107" ht="15" x14ac:dyDescent="0.25">
      <c r="A34" s="190" t="s">
        <v>70</v>
      </c>
      <c r="B34" s="642">
        <v>0</v>
      </c>
      <c r="C34" s="184">
        <v>0</v>
      </c>
      <c r="D34" s="184">
        <v>0</v>
      </c>
      <c r="E34" s="184">
        <v>0</v>
      </c>
      <c r="F34" s="184">
        <v>0</v>
      </c>
      <c r="G34" s="184">
        <v>0</v>
      </c>
      <c r="H34" s="184">
        <v>0</v>
      </c>
      <c r="I34" s="184">
        <v>0</v>
      </c>
      <c r="J34" s="184">
        <v>0</v>
      </c>
      <c r="K34" s="184">
        <v>0</v>
      </c>
      <c r="L34" s="184">
        <v>0</v>
      </c>
      <c r="M34" s="654" t="s">
        <v>24</v>
      </c>
      <c r="N34" s="669" t="s">
        <v>70</v>
      </c>
      <c r="O34" s="642">
        <v>0</v>
      </c>
      <c r="P34" s="184">
        <v>0</v>
      </c>
      <c r="Q34" s="184">
        <v>0</v>
      </c>
      <c r="R34" s="184">
        <v>0</v>
      </c>
      <c r="S34" s="184">
        <v>0</v>
      </c>
      <c r="T34" s="184">
        <v>0</v>
      </c>
      <c r="U34" s="184">
        <v>0</v>
      </c>
      <c r="V34" s="184">
        <v>0</v>
      </c>
      <c r="W34" s="184">
        <v>0</v>
      </c>
      <c r="X34" s="184">
        <v>0</v>
      </c>
      <c r="Y34" s="184">
        <v>0</v>
      </c>
      <c r="Z34" s="184">
        <v>0</v>
      </c>
      <c r="AA34" s="184">
        <v>0</v>
      </c>
      <c r="AB34" s="184">
        <v>0</v>
      </c>
      <c r="AC34" s="185" t="s">
        <v>24</v>
      </c>
      <c r="AD34" s="185" t="s">
        <v>24</v>
      </c>
      <c r="AE34" s="184">
        <v>0</v>
      </c>
      <c r="AF34" s="185">
        <v>0</v>
      </c>
      <c r="AG34" s="184">
        <v>0</v>
      </c>
      <c r="AH34" s="185">
        <v>0</v>
      </c>
      <c r="AI34" s="184">
        <v>0</v>
      </c>
      <c r="AJ34" s="643">
        <v>0</v>
      </c>
      <c r="AP34" s="401">
        <f t="shared" si="40"/>
        <v>2</v>
      </c>
      <c r="AR34" s="56">
        <f t="shared" si="41"/>
        <v>0.23958333333333323</v>
      </c>
      <c r="AS34" s="67">
        <f>SUM(C38,C145,C252,C359,C466,C573,C680)/config!$AC$13</f>
        <v>0</v>
      </c>
      <c r="AT34" s="68">
        <f>SUM(D38:E38,D145:E145,D252:E252,D359:E359,D466:E466,D573:E573,D680:E680)/config!$AC$13</f>
        <v>0.5714285714285714</v>
      </c>
      <c r="AU34" s="68">
        <f>SUM(F38:G38,F145:G145,F252:G252,F359:G359,F466:G466,F573:G573,F680:G680)/config!$AC$13</f>
        <v>0.2857142857142857</v>
      </c>
      <c r="AV34" s="68">
        <f>SUM(H38,H145,H252,H359,H466,H573,H680)/config!$AC$13</f>
        <v>0</v>
      </c>
      <c r="AW34" s="69">
        <f>SUM(I38:L38,I145:L145,I252:L252,I359:L359,I466:L466,I573:L573,I680:L680)/config!$AC$13</f>
        <v>0</v>
      </c>
      <c r="AY34" s="56">
        <f t="shared" si="42"/>
        <v>0.23958333333333323</v>
      </c>
      <c r="AZ34" s="70">
        <f t="shared" si="8"/>
        <v>2</v>
      </c>
      <c r="BA34" s="71">
        <f t="shared" si="9"/>
        <v>0</v>
      </c>
      <c r="BB34" s="71">
        <f t="shared" si="10"/>
        <v>0</v>
      </c>
      <c r="BC34" s="71">
        <f t="shared" si="11"/>
        <v>2</v>
      </c>
      <c r="BD34" s="71">
        <f t="shared" si="12"/>
        <v>0</v>
      </c>
      <c r="BE34" s="71">
        <f t="shared" si="13"/>
        <v>0</v>
      </c>
      <c r="BF34" s="72">
        <f t="shared" si="14"/>
        <v>2</v>
      </c>
      <c r="BG34" s="45"/>
      <c r="BH34" s="56">
        <f t="shared" si="15"/>
        <v>0.23958333333333323</v>
      </c>
      <c r="BI34" s="67">
        <f t="shared" si="16"/>
        <v>52.7</v>
      </c>
      <c r="BJ34" s="68" t="str">
        <f t="shared" si="17"/>
        <v/>
      </c>
      <c r="BK34" s="68" t="str">
        <f t="shared" si="18"/>
        <v/>
      </c>
      <c r="BL34" s="68">
        <f t="shared" si="19"/>
        <v>58.1</v>
      </c>
      <c r="BM34" s="68" t="str">
        <f t="shared" si="20"/>
        <v/>
      </c>
      <c r="BN34" s="68" t="str">
        <f t="shared" si="21"/>
        <v/>
      </c>
      <c r="BO34" s="69">
        <f t="shared" si="22"/>
        <v>47</v>
      </c>
      <c r="BP34" s="63"/>
      <c r="BQ34" s="64">
        <f t="shared" si="23"/>
        <v>0.23958333333333323</v>
      </c>
      <c r="BR34" s="67" t="str">
        <f t="shared" si="24"/>
        <v/>
      </c>
      <c r="BS34" s="68" t="str">
        <f t="shared" si="25"/>
        <v/>
      </c>
      <c r="BT34" s="68" t="str">
        <f t="shared" si="26"/>
        <v/>
      </c>
      <c r="BU34" s="68" t="str">
        <f t="shared" si="27"/>
        <v/>
      </c>
      <c r="BV34" s="68" t="str">
        <f t="shared" si="28"/>
        <v/>
      </c>
      <c r="BW34" s="68" t="str">
        <f t="shared" si="29"/>
        <v/>
      </c>
      <c r="BX34" s="69" t="str">
        <f t="shared" si="30"/>
        <v/>
      </c>
      <c r="BY34" s="65"/>
      <c r="BZ34" s="66">
        <f t="shared" si="43"/>
        <v>52.6</v>
      </c>
      <c r="CA34" s="414" t="e">
        <f t="shared" si="31"/>
        <v>#N/A</v>
      </c>
      <c r="CB34" s="416">
        <f t="shared" si="48"/>
        <v>60</v>
      </c>
      <c r="CC34" s="65"/>
      <c r="CD34" s="67">
        <f t="shared" si="32"/>
        <v>1</v>
      </c>
      <c r="CE34" s="68">
        <f t="shared" si="33"/>
        <v>0</v>
      </c>
      <c r="CF34" s="68">
        <f t="shared" si="34"/>
        <v>0</v>
      </c>
      <c r="CG34" s="68">
        <f t="shared" si="35"/>
        <v>1</v>
      </c>
      <c r="CH34" s="68">
        <f t="shared" si="36"/>
        <v>0</v>
      </c>
      <c r="CI34" s="68">
        <f t="shared" si="37"/>
        <v>0</v>
      </c>
      <c r="CJ34" s="69">
        <f t="shared" si="38"/>
        <v>0</v>
      </c>
      <c r="CM34" s="67">
        <f t="shared" si="44"/>
        <v>105.4</v>
      </c>
      <c r="CN34" s="68" t="str">
        <f t="shared" si="49"/>
        <v/>
      </c>
      <c r="CO34" s="68" t="str">
        <f t="shared" si="50"/>
        <v/>
      </c>
      <c r="CP34" s="68">
        <f t="shared" si="51"/>
        <v>116.2</v>
      </c>
      <c r="CQ34" s="68" t="str">
        <f t="shared" si="52"/>
        <v/>
      </c>
      <c r="CR34" s="68" t="str">
        <f t="shared" si="53"/>
        <v/>
      </c>
      <c r="CS34" s="69">
        <f t="shared" si="54"/>
        <v>94</v>
      </c>
      <c r="CU34" s="511">
        <f>SUM(SUMIF($AZ$8:$BF$8, {"NON";"NEUT"}, AZ34:BF34))/config!$AC$16</f>
        <v>1.2</v>
      </c>
      <c r="CV34" s="512">
        <f t="shared" si="45"/>
        <v>0.23958333333333323</v>
      </c>
      <c r="CY34" s="67">
        <f>SUM(C38*$CY$108, C145*$CY$109, C252*$CY$110, C359*$CY$111, C466*$CY$112, C573*$CY$113, C680*$CY$114)/config!$AC$16</f>
        <v>0</v>
      </c>
      <c r="CZ34" s="68">
        <f>SUM(SUM(D38:E38)*$CY$108, SUM(D145:E145)*$CY$109, SUM(D252:E252)*$CY$110, SUM(D359:E359)*$CY$111, SUM(D466:E466)*$CY$112, SUM(D573:E573)*$CY$113, SUM(D680:E680)*$CY$114)/config!$AC$16</f>
        <v>0.8</v>
      </c>
      <c r="DA34" s="68">
        <f>SUM(SUM(F38:G38)*$CY$108, SUM(F145:G145)*$CY$109, SUM(F252:G252)*$CY$110, SUM(F359:G359)*$CY$111, SUM(F466:G466)*$CY$112, SUM(F573:G573)*$CY$113, SUM(F680:G680)*$CY$114)/config!$AC$16</f>
        <v>0.4</v>
      </c>
      <c r="DB34" s="68">
        <f>SUM(H38*$CY$108, H145*$CY$109, H252*$CY$110, H359*$CY$111, H466*$CY$112, H573*$CY$113, H680*$CY$114)/config!$AC$16</f>
        <v>0</v>
      </c>
      <c r="DC34" s="69">
        <f>SUM(SUM(I38:L38)*$CY$108, SUM(I145:L145)*$CY$109, SUM(I252:L252)*$CY$110, SUM(I359:L359)*$CY$111, SUM(I466:L466)*$CY$112, SUM(I573:L573)*$CY$113, SUM(I680:L680)*$CY$114)/config!$AC$16</f>
        <v>0</v>
      </c>
    </row>
    <row r="35" spans="1:107" ht="15" x14ac:dyDescent="0.25">
      <c r="A35" s="190" t="s">
        <v>46</v>
      </c>
      <c r="B35" s="642">
        <v>0</v>
      </c>
      <c r="C35" s="184">
        <v>0</v>
      </c>
      <c r="D35" s="184">
        <v>0</v>
      </c>
      <c r="E35" s="184">
        <v>0</v>
      </c>
      <c r="F35" s="184">
        <v>0</v>
      </c>
      <c r="G35" s="184">
        <v>0</v>
      </c>
      <c r="H35" s="184">
        <v>0</v>
      </c>
      <c r="I35" s="184">
        <v>0</v>
      </c>
      <c r="J35" s="184">
        <v>0</v>
      </c>
      <c r="K35" s="184">
        <v>0</v>
      </c>
      <c r="L35" s="184">
        <v>0</v>
      </c>
      <c r="M35" s="654" t="s">
        <v>24</v>
      </c>
      <c r="N35" s="669" t="s">
        <v>46</v>
      </c>
      <c r="O35" s="642">
        <v>0</v>
      </c>
      <c r="P35" s="184">
        <v>0</v>
      </c>
      <c r="Q35" s="184">
        <v>0</v>
      </c>
      <c r="R35" s="184">
        <v>0</v>
      </c>
      <c r="S35" s="184">
        <v>0</v>
      </c>
      <c r="T35" s="184">
        <v>0</v>
      </c>
      <c r="U35" s="184">
        <v>0</v>
      </c>
      <c r="V35" s="184">
        <v>0</v>
      </c>
      <c r="W35" s="184">
        <v>0</v>
      </c>
      <c r="X35" s="184">
        <v>0</v>
      </c>
      <c r="Y35" s="184">
        <v>0</v>
      </c>
      <c r="Z35" s="184">
        <v>0</v>
      </c>
      <c r="AA35" s="184">
        <v>0</v>
      </c>
      <c r="AB35" s="184">
        <v>0</v>
      </c>
      <c r="AC35" s="185" t="s">
        <v>24</v>
      </c>
      <c r="AD35" s="185" t="s">
        <v>24</v>
      </c>
      <c r="AE35" s="184">
        <v>0</v>
      </c>
      <c r="AF35" s="185">
        <v>0</v>
      </c>
      <c r="AG35" s="184">
        <v>0</v>
      </c>
      <c r="AH35" s="185">
        <v>0</v>
      </c>
      <c r="AI35" s="184">
        <v>0</v>
      </c>
      <c r="AJ35" s="643">
        <v>0</v>
      </c>
      <c r="AP35" s="401">
        <f t="shared" si="40"/>
        <v>2</v>
      </c>
      <c r="AR35" s="56">
        <f t="shared" si="41"/>
        <v>0.24999999999999989</v>
      </c>
      <c r="AS35" s="67">
        <f>SUM(C39,C146,C253,C360,C467,C574,C681)/config!$AC$13</f>
        <v>0</v>
      </c>
      <c r="AT35" s="68">
        <f>SUM(D39:E39,D146:E146,D253:E253,D360:E360,D467:E467,D574:E574,D681:E681)/config!$AC$13</f>
        <v>1</v>
      </c>
      <c r="AU35" s="68">
        <f>SUM(F39:G39,F146:G146,F253:G253,F360:G360,F467:G467,F574:G574,F681:G681)/config!$AC$13</f>
        <v>0.2857142857142857</v>
      </c>
      <c r="AV35" s="68">
        <f>SUM(H39,H146,H253,H360,H467,H574,H681)/config!$AC$13</f>
        <v>0</v>
      </c>
      <c r="AW35" s="69">
        <f>SUM(I39:L39,I146:L146,I253:L253,I360:L360,I467:L467,I574:L574,I681:L681)/config!$AC$13</f>
        <v>0</v>
      </c>
      <c r="AY35" s="56">
        <f t="shared" si="42"/>
        <v>0.24999999999999989</v>
      </c>
      <c r="AZ35" s="70">
        <f t="shared" si="8"/>
        <v>1</v>
      </c>
      <c r="BA35" s="71">
        <f t="shared" si="9"/>
        <v>1</v>
      </c>
      <c r="BB35" s="71">
        <f t="shared" si="10"/>
        <v>2</v>
      </c>
      <c r="BC35" s="71">
        <f t="shared" si="11"/>
        <v>3</v>
      </c>
      <c r="BD35" s="71">
        <f t="shared" si="12"/>
        <v>0</v>
      </c>
      <c r="BE35" s="71">
        <f t="shared" si="13"/>
        <v>0</v>
      </c>
      <c r="BF35" s="72">
        <f t="shared" si="14"/>
        <v>2</v>
      </c>
      <c r="BG35" s="45"/>
      <c r="BH35" s="56">
        <f t="shared" si="15"/>
        <v>0.24999999999999989</v>
      </c>
      <c r="BI35" s="67">
        <f t="shared" si="16"/>
        <v>34.9</v>
      </c>
      <c r="BJ35" s="68">
        <f t="shared" si="17"/>
        <v>42.1</v>
      </c>
      <c r="BK35" s="68">
        <f t="shared" si="18"/>
        <v>48.3</v>
      </c>
      <c r="BL35" s="68">
        <f t="shared" si="19"/>
        <v>43.7</v>
      </c>
      <c r="BM35" s="68" t="str">
        <f t="shared" si="20"/>
        <v/>
      </c>
      <c r="BN35" s="68" t="str">
        <f t="shared" si="21"/>
        <v/>
      </c>
      <c r="BO35" s="69">
        <f t="shared" si="22"/>
        <v>48.9</v>
      </c>
      <c r="BP35" s="63"/>
      <c r="BQ35" s="64">
        <f t="shared" si="23"/>
        <v>0.24999999999999989</v>
      </c>
      <c r="BR35" s="67" t="str">
        <f t="shared" si="24"/>
        <v/>
      </c>
      <c r="BS35" s="68" t="str">
        <f t="shared" si="25"/>
        <v/>
      </c>
      <c r="BT35" s="68" t="str">
        <f t="shared" si="26"/>
        <v/>
      </c>
      <c r="BU35" s="68" t="str">
        <f t="shared" si="27"/>
        <v/>
      </c>
      <c r="BV35" s="68" t="str">
        <f t="shared" si="28"/>
        <v/>
      </c>
      <c r="BW35" s="68" t="str">
        <f t="shared" si="29"/>
        <v/>
      </c>
      <c r="BX35" s="69" t="str">
        <f t="shared" si="30"/>
        <v/>
      </c>
      <c r="BY35" s="65"/>
      <c r="BZ35" s="66">
        <f t="shared" si="43"/>
        <v>43.58</v>
      </c>
      <c r="CA35" s="414" t="e">
        <f t="shared" si="31"/>
        <v>#N/A</v>
      </c>
      <c r="CB35" s="416">
        <f t="shared" si="48"/>
        <v>60</v>
      </c>
      <c r="CC35" s="65"/>
      <c r="CD35" s="67">
        <f t="shared" si="32"/>
        <v>0</v>
      </c>
      <c r="CE35" s="68">
        <f t="shared" si="33"/>
        <v>0</v>
      </c>
      <c r="CF35" s="68">
        <f t="shared" si="34"/>
        <v>0</v>
      </c>
      <c r="CG35" s="68">
        <f t="shared" si="35"/>
        <v>0</v>
      </c>
      <c r="CH35" s="68">
        <f t="shared" si="36"/>
        <v>0</v>
      </c>
      <c r="CI35" s="68">
        <f t="shared" si="37"/>
        <v>0</v>
      </c>
      <c r="CJ35" s="69">
        <f t="shared" si="38"/>
        <v>0</v>
      </c>
      <c r="CM35" s="67">
        <f t="shared" si="44"/>
        <v>34.9</v>
      </c>
      <c r="CN35" s="68">
        <f t="shared" si="49"/>
        <v>42.1</v>
      </c>
      <c r="CO35" s="68">
        <f t="shared" si="50"/>
        <v>96.6</v>
      </c>
      <c r="CP35" s="68">
        <f t="shared" si="51"/>
        <v>131.10000000000002</v>
      </c>
      <c r="CQ35" s="68" t="str">
        <f t="shared" si="52"/>
        <v/>
      </c>
      <c r="CR35" s="68" t="str">
        <f t="shared" si="53"/>
        <v/>
      </c>
      <c r="CS35" s="69">
        <f t="shared" si="54"/>
        <v>97.8</v>
      </c>
      <c r="CU35" s="511">
        <f>SUM(SUMIF($AZ$8:$BF$8, {"NON";"NEUT"}, AZ35:BF35))/config!$AC$16</f>
        <v>1.8</v>
      </c>
      <c r="CV35" s="512">
        <f t="shared" si="45"/>
        <v>0.24999999999999989</v>
      </c>
      <c r="CY35" s="67">
        <f>SUM(C39*$CY$108, C146*$CY$109, C253*$CY$110, C360*$CY$111, C467*$CY$112, C574*$CY$113, C681*$CY$114)/config!$AC$16</f>
        <v>0</v>
      </c>
      <c r="CZ35" s="68">
        <f>SUM(SUM(D39:E39)*$CY$108, SUM(D146:E146)*$CY$109, SUM(D253:E253)*$CY$110, SUM(D360:E360)*$CY$111, SUM(D467:E467)*$CY$112, SUM(D574:E574)*$CY$113, SUM(D681:E681)*$CY$114)/config!$AC$16</f>
        <v>1.4</v>
      </c>
      <c r="DA35" s="68">
        <f>SUM(SUM(F39:G39)*$CY$108, SUM(F146:G146)*$CY$109, SUM(F253:G253)*$CY$110, SUM(F360:G360)*$CY$111, SUM(F467:G467)*$CY$112, SUM(F574:G574)*$CY$113, SUM(F681:G681)*$CY$114)/config!$AC$16</f>
        <v>0.4</v>
      </c>
      <c r="DB35" s="68">
        <f>SUM(H39*$CY$108, H146*$CY$109, H253*$CY$110, H360*$CY$111, H467*$CY$112, H574*$CY$113, H681*$CY$114)/config!$AC$16</f>
        <v>0</v>
      </c>
      <c r="DC35" s="69">
        <f>SUM(SUM(I39:L39)*$CY$108, SUM(I146:L146)*$CY$109, SUM(I253:L253)*$CY$110, SUM(I360:L360)*$CY$111, SUM(I467:L467)*$CY$112, SUM(I574:L574)*$CY$113, SUM(I681:L681)*$CY$114)/config!$AC$16</f>
        <v>0</v>
      </c>
    </row>
    <row r="36" spans="1:107" ht="15" x14ac:dyDescent="0.25">
      <c r="A36" s="190" t="s">
        <v>73</v>
      </c>
      <c r="B36" s="642">
        <v>1</v>
      </c>
      <c r="C36" s="184">
        <v>0</v>
      </c>
      <c r="D36" s="184">
        <v>1</v>
      </c>
      <c r="E36" s="184">
        <v>0</v>
      </c>
      <c r="F36" s="184">
        <v>0</v>
      </c>
      <c r="G36" s="184">
        <v>0</v>
      </c>
      <c r="H36" s="184">
        <v>0</v>
      </c>
      <c r="I36" s="184">
        <v>0</v>
      </c>
      <c r="J36" s="184">
        <v>0</v>
      </c>
      <c r="K36" s="184">
        <v>0</v>
      </c>
      <c r="L36" s="184">
        <v>0</v>
      </c>
      <c r="M36" s="654" t="s">
        <v>24</v>
      </c>
      <c r="N36" s="669" t="s">
        <v>73</v>
      </c>
      <c r="O36" s="642">
        <v>0</v>
      </c>
      <c r="P36" s="184">
        <v>0</v>
      </c>
      <c r="Q36" s="184">
        <v>0</v>
      </c>
      <c r="R36" s="184">
        <v>0</v>
      </c>
      <c r="S36" s="184">
        <v>0</v>
      </c>
      <c r="T36" s="184">
        <v>0</v>
      </c>
      <c r="U36" s="184">
        <v>1</v>
      </c>
      <c r="V36" s="184">
        <v>0</v>
      </c>
      <c r="W36" s="184">
        <v>0</v>
      </c>
      <c r="X36" s="184">
        <v>0</v>
      </c>
      <c r="Y36" s="184">
        <v>0</v>
      </c>
      <c r="Z36" s="184">
        <v>0</v>
      </c>
      <c r="AA36" s="184">
        <v>0</v>
      </c>
      <c r="AB36" s="184">
        <v>0</v>
      </c>
      <c r="AC36" s="185">
        <v>36.700000000000003</v>
      </c>
      <c r="AD36" s="185" t="s">
        <v>24</v>
      </c>
      <c r="AE36" s="184">
        <v>0</v>
      </c>
      <c r="AF36" s="185">
        <v>0</v>
      </c>
      <c r="AG36" s="184">
        <v>0</v>
      </c>
      <c r="AH36" s="185">
        <v>0</v>
      </c>
      <c r="AI36" s="184">
        <v>0</v>
      </c>
      <c r="AJ36" s="643">
        <v>0</v>
      </c>
      <c r="AP36" s="401">
        <f t="shared" si="40"/>
        <v>2</v>
      </c>
      <c r="AR36" s="56">
        <f t="shared" si="41"/>
        <v>0.26041666666666657</v>
      </c>
      <c r="AS36" s="67">
        <f>SUM(C40,C147,C254,C361,C468,C575,C682)/config!$AC$13</f>
        <v>0</v>
      </c>
      <c r="AT36" s="68">
        <f>SUM(D40:E40,D147:E147,D254:E254,D361:E361,D468:E468,D575:E575,D682:E682)/config!$AC$13</f>
        <v>1.4285714285714286</v>
      </c>
      <c r="AU36" s="68">
        <f>SUM(F40:G40,F147:G147,F254:G254,F361:G361,F468:G468,F575:G575,F682:G682)/config!$AC$13</f>
        <v>0.2857142857142857</v>
      </c>
      <c r="AV36" s="68">
        <f>SUM(H40,H147,H254,H361,H468,H575,H682)/config!$AC$13</f>
        <v>0</v>
      </c>
      <c r="AW36" s="69">
        <f>SUM(I40:L40,I147:L147,I254:L254,I361:L361,I468:L468,I575:L575,I682:L682)/config!$AC$13</f>
        <v>0</v>
      </c>
      <c r="AY36" s="56">
        <f t="shared" si="42"/>
        <v>0.26041666666666657</v>
      </c>
      <c r="AZ36" s="70">
        <f t="shared" si="8"/>
        <v>2</v>
      </c>
      <c r="BA36" s="71">
        <f t="shared" si="9"/>
        <v>3</v>
      </c>
      <c r="BB36" s="71">
        <f t="shared" si="10"/>
        <v>1</v>
      </c>
      <c r="BC36" s="71">
        <f t="shared" si="11"/>
        <v>2</v>
      </c>
      <c r="BD36" s="71">
        <f t="shared" si="12"/>
        <v>1</v>
      </c>
      <c r="BE36" s="71">
        <f t="shared" si="13"/>
        <v>1</v>
      </c>
      <c r="BF36" s="72">
        <f t="shared" si="14"/>
        <v>2</v>
      </c>
      <c r="BG36" s="45"/>
      <c r="BH36" s="56">
        <f t="shared" si="15"/>
        <v>0.26041666666666657</v>
      </c>
      <c r="BI36" s="67">
        <f t="shared" si="16"/>
        <v>45.6</v>
      </c>
      <c r="BJ36" s="68">
        <f t="shared" si="17"/>
        <v>48.2</v>
      </c>
      <c r="BK36" s="68">
        <f t="shared" si="18"/>
        <v>41.5</v>
      </c>
      <c r="BL36" s="68">
        <f t="shared" si="19"/>
        <v>46.7</v>
      </c>
      <c r="BM36" s="68">
        <f t="shared" si="20"/>
        <v>40.799999999999997</v>
      </c>
      <c r="BN36" s="68">
        <f t="shared" si="21"/>
        <v>41.9</v>
      </c>
      <c r="BO36" s="69">
        <f t="shared" si="22"/>
        <v>40.5</v>
      </c>
      <c r="BP36" s="63"/>
      <c r="BQ36" s="64">
        <f t="shared" si="23"/>
        <v>0.26041666666666657</v>
      </c>
      <c r="BR36" s="67" t="str">
        <f t="shared" si="24"/>
        <v/>
      </c>
      <c r="BS36" s="68" t="str">
        <f t="shared" si="25"/>
        <v/>
      </c>
      <c r="BT36" s="68" t="str">
        <f t="shared" si="26"/>
        <v/>
      </c>
      <c r="BU36" s="68" t="str">
        <f t="shared" si="27"/>
        <v/>
      </c>
      <c r="BV36" s="68" t="str">
        <f t="shared" si="28"/>
        <v/>
      </c>
      <c r="BW36" s="68" t="str">
        <f t="shared" si="29"/>
        <v/>
      </c>
      <c r="BX36" s="69" t="str">
        <f t="shared" si="30"/>
        <v/>
      </c>
      <c r="BY36" s="65"/>
      <c r="BZ36" s="66">
        <f t="shared" si="43"/>
        <v>43.6</v>
      </c>
      <c r="CA36" s="414" t="e">
        <f t="shared" si="31"/>
        <v>#N/A</v>
      </c>
      <c r="CB36" s="416">
        <f t="shared" si="48"/>
        <v>60</v>
      </c>
      <c r="CC36" s="65"/>
      <c r="CD36" s="67">
        <f t="shared" si="32"/>
        <v>0</v>
      </c>
      <c r="CE36" s="68">
        <f t="shared" si="33"/>
        <v>0</v>
      </c>
      <c r="CF36" s="68">
        <f t="shared" si="34"/>
        <v>0</v>
      </c>
      <c r="CG36" s="68">
        <f t="shared" si="35"/>
        <v>0</v>
      </c>
      <c r="CH36" s="68">
        <f t="shared" si="36"/>
        <v>0</v>
      </c>
      <c r="CI36" s="68">
        <f t="shared" si="37"/>
        <v>0</v>
      </c>
      <c r="CJ36" s="69">
        <f t="shared" si="38"/>
        <v>0</v>
      </c>
      <c r="CM36" s="67">
        <f t="shared" si="44"/>
        <v>91.2</v>
      </c>
      <c r="CN36" s="68">
        <f t="shared" si="49"/>
        <v>144.60000000000002</v>
      </c>
      <c r="CO36" s="68">
        <f t="shared" si="50"/>
        <v>41.5</v>
      </c>
      <c r="CP36" s="68">
        <f t="shared" si="51"/>
        <v>93.4</v>
      </c>
      <c r="CQ36" s="68">
        <f t="shared" si="52"/>
        <v>40.799999999999997</v>
      </c>
      <c r="CR36" s="68">
        <f t="shared" si="53"/>
        <v>41.9</v>
      </c>
      <c r="CS36" s="69">
        <f t="shared" si="54"/>
        <v>81</v>
      </c>
      <c r="CU36" s="511">
        <f>SUM(SUMIF($AZ$8:$BF$8, {"NON";"NEUT"}, AZ36:BF36))/config!$AC$16</f>
        <v>2</v>
      </c>
      <c r="CV36" s="512">
        <f t="shared" si="45"/>
        <v>0.26041666666666657</v>
      </c>
      <c r="CY36" s="67">
        <f>SUM(C40*$CY$108, C147*$CY$109, C254*$CY$110, C361*$CY$111, C468*$CY$112, C575*$CY$113, C682*$CY$114)/config!$AC$16</f>
        <v>0</v>
      </c>
      <c r="CZ36" s="68">
        <f>SUM(SUM(D40:E40)*$CY$108, SUM(D147:E147)*$CY$109, SUM(D254:E254)*$CY$110, SUM(D361:E361)*$CY$111, SUM(D468:E468)*$CY$112, SUM(D575:E575)*$CY$113, SUM(D682:E682)*$CY$114)/config!$AC$16</f>
        <v>2</v>
      </c>
      <c r="DA36" s="68">
        <f>SUM(SUM(F40:G40)*$CY$108, SUM(F147:G147)*$CY$109, SUM(F254:G254)*$CY$110, SUM(F361:G361)*$CY$111, SUM(F468:G468)*$CY$112, SUM(F575:G575)*$CY$113, SUM(F682:G682)*$CY$114)/config!$AC$16</f>
        <v>0</v>
      </c>
      <c r="DB36" s="68">
        <f>SUM(H40*$CY$108, H147*$CY$109, H254*$CY$110, H361*$CY$111, H468*$CY$112, H575*$CY$113, H682*$CY$114)/config!$AC$16</f>
        <v>0</v>
      </c>
      <c r="DC36" s="69">
        <f>SUM(SUM(I40:L40)*$CY$108, SUM(I147:L147)*$CY$109, SUM(I254:L254)*$CY$110, SUM(I361:L361)*$CY$111, SUM(I468:L468)*$CY$112, SUM(I575:L575)*$CY$113, SUM(I682:L682)*$CY$114)/config!$AC$16</f>
        <v>0</v>
      </c>
    </row>
    <row r="37" spans="1:107" ht="15" x14ac:dyDescent="0.25">
      <c r="A37" s="190" t="s">
        <v>75</v>
      </c>
      <c r="B37" s="642">
        <v>1</v>
      </c>
      <c r="C37" s="184">
        <v>0</v>
      </c>
      <c r="D37" s="184">
        <v>1</v>
      </c>
      <c r="E37" s="184">
        <v>0</v>
      </c>
      <c r="F37" s="184">
        <v>0</v>
      </c>
      <c r="G37" s="184">
        <v>0</v>
      </c>
      <c r="H37" s="184">
        <v>0</v>
      </c>
      <c r="I37" s="184">
        <v>0</v>
      </c>
      <c r="J37" s="184">
        <v>0</v>
      </c>
      <c r="K37" s="184">
        <v>0</v>
      </c>
      <c r="L37" s="184">
        <v>0</v>
      </c>
      <c r="M37" s="654" t="s">
        <v>24</v>
      </c>
      <c r="N37" s="669" t="s">
        <v>75</v>
      </c>
      <c r="O37" s="642">
        <v>0</v>
      </c>
      <c r="P37" s="184">
        <v>0</v>
      </c>
      <c r="Q37" s="184">
        <v>0</v>
      </c>
      <c r="R37" s="184">
        <v>0</v>
      </c>
      <c r="S37" s="184">
        <v>0</v>
      </c>
      <c r="T37" s="184">
        <v>0</v>
      </c>
      <c r="U37" s="184">
        <v>1</v>
      </c>
      <c r="V37" s="184">
        <v>0</v>
      </c>
      <c r="W37" s="184">
        <v>0</v>
      </c>
      <c r="X37" s="184">
        <v>0</v>
      </c>
      <c r="Y37" s="184">
        <v>0</v>
      </c>
      <c r="Z37" s="184">
        <v>0</v>
      </c>
      <c r="AA37" s="184">
        <v>0</v>
      </c>
      <c r="AB37" s="184">
        <v>0</v>
      </c>
      <c r="AC37" s="185">
        <v>37.9</v>
      </c>
      <c r="AD37" s="185" t="s">
        <v>24</v>
      </c>
      <c r="AE37" s="184">
        <v>0</v>
      </c>
      <c r="AF37" s="185">
        <v>0</v>
      </c>
      <c r="AG37" s="184">
        <v>0</v>
      </c>
      <c r="AH37" s="185">
        <v>0</v>
      </c>
      <c r="AI37" s="184">
        <v>0</v>
      </c>
      <c r="AJ37" s="643">
        <v>0</v>
      </c>
      <c r="AP37" s="401">
        <f t="shared" si="40"/>
        <v>1</v>
      </c>
      <c r="AR37" s="56">
        <f t="shared" si="41"/>
        <v>0.27083333333333326</v>
      </c>
      <c r="AS37" s="67">
        <f>SUM(C41,C148,C255,C362,C469,C576,C683)/config!$AC$13</f>
        <v>0</v>
      </c>
      <c r="AT37" s="68">
        <f>SUM(D41:E41,D148:E148,D255:E255,D362:E362,D469:E469,D576:E576,D683:E683)/config!$AC$13</f>
        <v>2.8571428571428572</v>
      </c>
      <c r="AU37" s="68">
        <f>SUM(F41:G41,F148:G148,F255:G255,F362:G362,F469:G469,F576:G576,F683:G683)/config!$AC$13</f>
        <v>0.14285714285714285</v>
      </c>
      <c r="AV37" s="68">
        <f>SUM(H41,H148,H255,H362,H469,H576,H683)/config!$AC$13</f>
        <v>0</v>
      </c>
      <c r="AW37" s="69">
        <f>SUM(I41:L41,I148:L148,I255:L255,I362:L362,I469:L469,I576:L576,I683:L683)/config!$AC$13</f>
        <v>0</v>
      </c>
      <c r="AY37" s="56">
        <f t="shared" si="42"/>
        <v>0.27083333333333326</v>
      </c>
      <c r="AZ37" s="70">
        <f t="shared" si="8"/>
        <v>3</v>
      </c>
      <c r="BA37" s="71">
        <f t="shared" si="9"/>
        <v>3</v>
      </c>
      <c r="BB37" s="71">
        <f t="shared" si="10"/>
        <v>5</v>
      </c>
      <c r="BC37" s="71">
        <f t="shared" si="11"/>
        <v>4</v>
      </c>
      <c r="BD37" s="71">
        <f t="shared" si="12"/>
        <v>1</v>
      </c>
      <c r="BE37" s="71">
        <f t="shared" si="13"/>
        <v>2</v>
      </c>
      <c r="BF37" s="72">
        <f t="shared" si="14"/>
        <v>3</v>
      </c>
      <c r="BG37" s="45"/>
      <c r="BH37" s="56">
        <f t="shared" si="15"/>
        <v>0.27083333333333326</v>
      </c>
      <c r="BI37" s="67">
        <f t="shared" si="16"/>
        <v>40.200000000000003</v>
      </c>
      <c r="BJ37" s="68">
        <f t="shared" si="17"/>
        <v>45.6</v>
      </c>
      <c r="BK37" s="68">
        <f t="shared" si="18"/>
        <v>42.2</v>
      </c>
      <c r="BL37" s="68">
        <f t="shared" si="19"/>
        <v>47.5</v>
      </c>
      <c r="BM37" s="68">
        <f t="shared" si="20"/>
        <v>41.1</v>
      </c>
      <c r="BN37" s="68">
        <f t="shared" si="21"/>
        <v>43</v>
      </c>
      <c r="BO37" s="69">
        <f t="shared" si="22"/>
        <v>46.4</v>
      </c>
      <c r="BP37" s="63"/>
      <c r="BQ37" s="64">
        <f t="shared" si="23"/>
        <v>0.27083333333333326</v>
      </c>
      <c r="BR37" s="67" t="str">
        <f t="shared" si="24"/>
        <v/>
      </c>
      <c r="BS37" s="68" t="str">
        <f t="shared" si="25"/>
        <v/>
      </c>
      <c r="BT37" s="68" t="str">
        <f t="shared" si="26"/>
        <v/>
      </c>
      <c r="BU37" s="68" t="str">
        <f t="shared" si="27"/>
        <v/>
      </c>
      <c r="BV37" s="68" t="str">
        <f t="shared" si="28"/>
        <v/>
      </c>
      <c r="BW37" s="68" t="str">
        <f t="shared" si="29"/>
        <v/>
      </c>
      <c r="BX37" s="69" t="str">
        <f t="shared" si="30"/>
        <v/>
      </c>
      <c r="BY37" s="65"/>
      <c r="BZ37" s="66">
        <f t="shared" si="43"/>
        <v>43.714285714285715</v>
      </c>
      <c r="CA37" s="414" t="e">
        <f t="shared" si="31"/>
        <v>#N/A</v>
      </c>
      <c r="CB37" s="416">
        <f t="shared" si="48"/>
        <v>60</v>
      </c>
      <c r="CC37" s="65"/>
      <c r="CD37" s="67">
        <f t="shared" si="32"/>
        <v>0</v>
      </c>
      <c r="CE37" s="68">
        <f t="shared" si="33"/>
        <v>0</v>
      </c>
      <c r="CF37" s="68">
        <f t="shared" si="34"/>
        <v>0</v>
      </c>
      <c r="CG37" s="68">
        <f t="shared" si="35"/>
        <v>0</v>
      </c>
      <c r="CH37" s="68">
        <f t="shared" si="36"/>
        <v>0</v>
      </c>
      <c r="CI37" s="68">
        <f t="shared" si="37"/>
        <v>0</v>
      </c>
      <c r="CJ37" s="69">
        <f t="shared" si="38"/>
        <v>0</v>
      </c>
      <c r="CM37" s="67">
        <f t="shared" si="44"/>
        <v>120.60000000000001</v>
      </c>
      <c r="CN37" s="68">
        <f t="shared" si="49"/>
        <v>136.80000000000001</v>
      </c>
      <c r="CO37" s="68">
        <f t="shared" si="50"/>
        <v>211</v>
      </c>
      <c r="CP37" s="68">
        <f t="shared" si="51"/>
        <v>190</v>
      </c>
      <c r="CQ37" s="68">
        <f t="shared" si="52"/>
        <v>41.1</v>
      </c>
      <c r="CR37" s="68">
        <f t="shared" si="53"/>
        <v>86</v>
      </c>
      <c r="CS37" s="69">
        <f t="shared" si="54"/>
        <v>139.19999999999999</v>
      </c>
      <c r="CU37" s="511">
        <f>SUM(SUMIF($AZ$8:$BF$8, {"NON";"NEUT"}, AZ37:BF37))/config!$AC$16</f>
        <v>3.6</v>
      </c>
      <c r="CV37" s="512">
        <f t="shared" si="45"/>
        <v>0.27083333333333326</v>
      </c>
      <c r="CY37" s="67">
        <f>SUM(C41*$CY$108, C148*$CY$109, C255*$CY$110, C362*$CY$111, C469*$CY$112, C576*$CY$113, C683*$CY$114)/config!$AC$16</f>
        <v>0</v>
      </c>
      <c r="CZ37" s="68">
        <f>SUM(SUM(D41:E41)*$CY$108, SUM(D148:E148)*$CY$109, SUM(D255:E255)*$CY$110, SUM(D362:E362)*$CY$111, SUM(D469:E469)*$CY$112, SUM(D576:E576)*$CY$113, SUM(D683:E683)*$CY$114)/config!$AC$16</f>
        <v>3.4</v>
      </c>
      <c r="DA37" s="68">
        <f>SUM(SUM(F41:G41)*$CY$108, SUM(F148:G148)*$CY$109, SUM(F255:G255)*$CY$110, SUM(F362:G362)*$CY$111, SUM(F469:G469)*$CY$112, SUM(F576:G576)*$CY$113, SUM(F683:G683)*$CY$114)/config!$AC$16</f>
        <v>0.2</v>
      </c>
      <c r="DB37" s="68">
        <f>SUM(H41*$CY$108, H148*$CY$109, H255*$CY$110, H362*$CY$111, H469*$CY$112, H576*$CY$113, H683*$CY$114)/config!$AC$16</f>
        <v>0</v>
      </c>
      <c r="DC37" s="69">
        <f>SUM(SUM(I41:L41)*$CY$108, SUM(I148:L148)*$CY$109, SUM(I255:L255)*$CY$110, SUM(I362:L362)*$CY$111, SUM(I469:L469)*$CY$112, SUM(I576:L576)*$CY$113, SUM(I683:L683)*$CY$114)/config!$AC$16</f>
        <v>0</v>
      </c>
    </row>
    <row r="38" spans="1:107" ht="15.75" thickBot="1" x14ac:dyDescent="0.3">
      <c r="A38" s="190" t="s">
        <v>77</v>
      </c>
      <c r="B38" s="644">
        <v>2</v>
      </c>
      <c r="C38" s="188">
        <v>0</v>
      </c>
      <c r="D38" s="188">
        <v>1</v>
      </c>
      <c r="E38" s="188">
        <v>0</v>
      </c>
      <c r="F38" s="188">
        <v>1</v>
      </c>
      <c r="G38" s="188">
        <v>0</v>
      </c>
      <c r="H38" s="188">
        <v>0</v>
      </c>
      <c r="I38" s="188">
        <v>0</v>
      </c>
      <c r="J38" s="188">
        <v>0</v>
      </c>
      <c r="K38" s="188">
        <v>0</v>
      </c>
      <c r="L38" s="188">
        <v>0</v>
      </c>
      <c r="M38" s="655" t="s">
        <v>24</v>
      </c>
      <c r="N38" s="669" t="s">
        <v>77</v>
      </c>
      <c r="O38" s="644">
        <v>0</v>
      </c>
      <c r="P38" s="188">
        <v>0</v>
      </c>
      <c r="Q38" s="188">
        <v>0</v>
      </c>
      <c r="R38" s="188">
        <v>0</v>
      </c>
      <c r="S38" s="188">
        <v>0</v>
      </c>
      <c r="T38" s="188">
        <v>0</v>
      </c>
      <c r="U38" s="188">
        <v>0</v>
      </c>
      <c r="V38" s="188">
        <v>1</v>
      </c>
      <c r="W38" s="188">
        <v>0</v>
      </c>
      <c r="X38" s="188">
        <v>0</v>
      </c>
      <c r="Y38" s="188">
        <v>1</v>
      </c>
      <c r="Z38" s="188">
        <v>0</v>
      </c>
      <c r="AA38" s="188">
        <v>0</v>
      </c>
      <c r="AB38" s="188">
        <v>0</v>
      </c>
      <c r="AC38" s="189">
        <v>52.7</v>
      </c>
      <c r="AD38" s="189" t="s">
        <v>24</v>
      </c>
      <c r="AE38" s="188">
        <v>1</v>
      </c>
      <c r="AF38" s="189">
        <v>50</v>
      </c>
      <c r="AG38" s="188">
        <v>0</v>
      </c>
      <c r="AH38" s="189">
        <v>0</v>
      </c>
      <c r="AI38" s="188">
        <v>0</v>
      </c>
      <c r="AJ38" s="645">
        <v>0</v>
      </c>
      <c r="AP38" s="401">
        <f t="shared" si="40"/>
        <v>1</v>
      </c>
      <c r="AR38" s="56">
        <f t="shared" si="41"/>
        <v>0.28124999999999994</v>
      </c>
      <c r="AS38" s="67">
        <f>SUM(C42,C149,C256,C363,C470,C577,C684)/config!$AC$13</f>
        <v>0.5714285714285714</v>
      </c>
      <c r="AT38" s="68">
        <f>SUM(D42:E42,D149:E149,D256:E256,D363:E363,D470:E470,D577:E577,D684:E684)/config!$AC$13</f>
        <v>2.2857142857142856</v>
      </c>
      <c r="AU38" s="68">
        <f>SUM(F42:G42,F149:G149,F256:G256,F363:G363,F470:G470,F577:G577,F684:G684)/config!$AC$13</f>
        <v>0.14285714285714285</v>
      </c>
      <c r="AV38" s="68">
        <f>SUM(H42,H149,H256,H363,H470,H577,H684)/config!$AC$13</f>
        <v>0</v>
      </c>
      <c r="AW38" s="69">
        <f>SUM(I42:L42,I149:L149,I256:L256,I363:L363,I470:L470,I577:L577,I684:L684)/config!$AC$13</f>
        <v>0</v>
      </c>
      <c r="AY38" s="56">
        <f t="shared" si="42"/>
        <v>0.28124999999999994</v>
      </c>
      <c r="AZ38" s="70">
        <f t="shared" si="8"/>
        <v>5</v>
      </c>
      <c r="BA38" s="71">
        <f t="shared" si="9"/>
        <v>3</v>
      </c>
      <c r="BB38" s="71">
        <f t="shared" si="10"/>
        <v>4</v>
      </c>
      <c r="BC38" s="71">
        <f t="shared" si="11"/>
        <v>4</v>
      </c>
      <c r="BD38" s="71">
        <f t="shared" si="12"/>
        <v>1</v>
      </c>
      <c r="BE38" s="71">
        <f t="shared" si="13"/>
        <v>0</v>
      </c>
      <c r="BF38" s="72">
        <f t="shared" si="14"/>
        <v>4</v>
      </c>
      <c r="BG38" s="45"/>
      <c r="BH38" s="56">
        <f t="shared" si="15"/>
        <v>0.28124999999999994</v>
      </c>
      <c r="BI38" s="67">
        <f t="shared" si="16"/>
        <v>35.5</v>
      </c>
      <c r="BJ38" s="68">
        <f t="shared" si="17"/>
        <v>49.9</v>
      </c>
      <c r="BK38" s="68">
        <f t="shared" si="18"/>
        <v>37.200000000000003</v>
      </c>
      <c r="BL38" s="68">
        <f t="shared" si="19"/>
        <v>44.1</v>
      </c>
      <c r="BM38" s="68">
        <f t="shared" si="20"/>
        <v>19.8</v>
      </c>
      <c r="BN38" s="68" t="str">
        <f t="shared" si="21"/>
        <v/>
      </c>
      <c r="BO38" s="69">
        <f t="shared" si="22"/>
        <v>36</v>
      </c>
      <c r="BP38" s="63"/>
      <c r="BQ38" s="64">
        <f t="shared" si="23"/>
        <v>0.28124999999999994</v>
      </c>
      <c r="BR38" s="67" t="str">
        <f t="shared" si="24"/>
        <v/>
      </c>
      <c r="BS38" s="68" t="str">
        <f t="shared" si="25"/>
        <v/>
      </c>
      <c r="BT38" s="68" t="str">
        <f t="shared" si="26"/>
        <v/>
      </c>
      <c r="BU38" s="68" t="str">
        <f t="shared" si="27"/>
        <v/>
      </c>
      <c r="BV38" s="68" t="str">
        <f t="shared" si="28"/>
        <v/>
      </c>
      <c r="BW38" s="68" t="str">
        <f t="shared" si="29"/>
        <v/>
      </c>
      <c r="BX38" s="69" t="str">
        <f t="shared" si="30"/>
        <v/>
      </c>
      <c r="BY38" s="65"/>
      <c r="BZ38" s="66">
        <f t="shared" si="43"/>
        <v>37.083333333333336</v>
      </c>
      <c r="CA38" s="414" t="e">
        <f t="shared" si="31"/>
        <v>#N/A</v>
      </c>
      <c r="CB38" s="416">
        <f t="shared" si="48"/>
        <v>60</v>
      </c>
      <c r="CC38" s="65"/>
      <c r="CD38" s="67">
        <f t="shared" si="32"/>
        <v>0</v>
      </c>
      <c r="CE38" s="68">
        <f t="shared" si="33"/>
        <v>0</v>
      </c>
      <c r="CF38" s="68">
        <f t="shared" si="34"/>
        <v>0</v>
      </c>
      <c r="CG38" s="68">
        <f t="shared" si="35"/>
        <v>1</v>
      </c>
      <c r="CH38" s="68">
        <f t="shared" si="36"/>
        <v>0</v>
      </c>
      <c r="CI38" s="68">
        <f t="shared" si="37"/>
        <v>0</v>
      </c>
      <c r="CJ38" s="69">
        <f t="shared" si="38"/>
        <v>0</v>
      </c>
      <c r="CM38" s="67">
        <f t="shared" si="44"/>
        <v>177.5</v>
      </c>
      <c r="CN38" s="68">
        <f t="shared" si="49"/>
        <v>149.69999999999999</v>
      </c>
      <c r="CO38" s="68">
        <f t="shared" si="50"/>
        <v>148.80000000000001</v>
      </c>
      <c r="CP38" s="68">
        <f t="shared" si="51"/>
        <v>176.4</v>
      </c>
      <c r="CQ38" s="68">
        <f t="shared" si="52"/>
        <v>19.8</v>
      </c>
      <c r="CR38" s="68" t="str">
        <f t="shared" si="53"/>
        <v/>
      </c>
      <c r="CS38" s="69">
        <f t="shared" si="54"/>
        <v>144</v>
      </c>
      <c r="CU38" s="511">
        <f>SUM(SUMIF($AZ$8:$BF$8, {"NON";"NEUT"}, AZ38:BF38))/config!$AC$16</f>
        <v>4</v>
      </c>
      <c r="CV38" s="512">
        <f t="shared" si="45"/>
        <v>0.28124999999999994</v>
      </c>
      <c r="CY38" s="67">
        <f>SUM(C42*$CY$108, C149*$CY$109, C256*$CY$110, C363*$CY$111, C470*$CY$112, C577*$CY$113, C684*$CY$114)/config!$AC$16</f>
        <v>0.6</v>
      </c>
      <c r="CZ38" s="68">
        <f>SUM(SUM(D42:E42)*$CY$108, SUM(D149:E149)*$CY$109, SUM(D256:E256)*$CY$110, SUM(D363:E363)*$CY$111, SUM(D470:E470)*$CY$112, SUM(D577:E577)*$CY$113, SUM(D684:E684)*$CY$114)/config!$AC$16</f>
        <v>3.2</v>
      </c>
      <c r="DA38" s="68">
        <f>SUM(SUM(F42:G42)*$CY$108, SUM(F149:G149)*$CY$109, SUM(F256:G256)*$CY$110, SUM(F363:G363)*$CY$111, SUM(F470:G470)*$CY$112, SUM(F577:G577)*$CY$113, SUM(F684:G684)*$CY$114)/config!$AC$16</f>
        <v>0.2</v>
      </c>
      <c r="DB38" s="68">
        <f>SUM(H42*$CY$108, H149*$CY$109, H256*$CY$110, H363*$CY$111, H470*$CY$112, H577*$CY$113, H684*$CY$114)/config!$AC$16</f>
        <v>0</v>
      </c>
      <c r="DC38" s="69">
        <f>SUM(SUM(I42:L42)*$CY$108, SUM(I149:L149)*$CY$109, SUM(I256:L256)*$CY$110, SUM(I363:L363)*$CY$111, SUM(I470:L470)*$CY$112, SUM(I577:L577)*$CY$113, SUM(I684:L684)*$CY$114)/config!$AC$16</f>
        <v>0</v>
      </c>
    </row>
    <row r="39" spans="1:107" ht="15" x14ac:dyDescent="0.25">
      <c r="A39" s="190" t="s">
        <v>48</v>
      </c>
      <c r="B39" s="642">
        <v>1</v>
      </c>
      <c r="C39" s="184">
        <v>0</v>
      </c>
      <c r="D39" s="184">
        <v>1</v>
      </c>
      <c r="E39" s="184">
        <v>0</v>
      </c>
      <c r="F39" s="184">
        <v>0</v>
      </c>
      <c r="G39" s="184">
        <v>0</v>
      </c>
      <c r="H39" s="184">
        <v>0</v>
      </c>
      <c r="I39" s="184">
        <v>0</v>
      </c>
      <c r="J39" s="184">
        <v>0</v>
      </c>
      <c r="K39" s="184">
        <v>0</v>
      </c>
      <c r="L39" s="184">
        <v>0</v>
      </c>
      <c r="M39" s="654" t="s">
        <v>24</v>
      </c>
      <c r="N39" s="669" t="s">
        <v>48</v>
      </c>
      <c r="O39" s="642">
        <v>0</v>
      </c>
      <c r="P39" s="184">
        <v>0</v>
      </c>
      <c r="Q39" s="184">
        <v>0</v>
      </c>
      <c r="R39" s="184">
        <v>0</v>
      </c>
      <c r="S39" s="184">
        <v>0</v>
      </c>
      <c r="T39" s="184">
        <v>1</v>
      </c>
      <c r="U39" s="184">
        <v>0</v>
      </c>
      <c r="V39" s="184">
        <v>0</v>
      </c>
      <c r="W39" s="184">
        <v>0</v>
      </c>
      <c r="X39" s="184">
        <v>0</v>
      </c>
      <c r="Y39" s="184">
        <v>0</v>
      </c>
      <c r="Z39" s="184">
        <v>0</v>
      </c>
      <c r="AA39" s="184">
        <v>0</v>
      </c>
      <c r="AB39" s="184">
        <v>0</v>
      </c>
      <c r="AC39" s="185">
        <v>34.9</v>
      </c>
      <c r="AD39" s="185" t="s">
        <v>24</v>
      </c>
      <c r="AE39" s="184">
        <v>0</v>
      </c>
      <c r="AF39" s="185">
        <v>0</v>
      </c>
      <c r="AG39" s="184">
        <v>0</v>
      </c>
      <c r="AH39" s="185">
        <v>0</v>
      </c>
      <c r="AI39" s="184">
        <v>0</v>
      </c>
      <c r="AJ39" s="643">
        <v>0</v>
      </c>
      <c r="AP39" s="401">
        <f t="shared" si="40"/>
        <v>5</v>
      </c>
      <c r="AR39" s="56">
        <f t="shared" si="41"/>
        <v>0.29166666666666663</v>
      </c>
      <c r="AS39" s="73">
        <f>SUM(C43,C150,C257,C364,C471,C578,C685)/config!$AC$13</f>
        <v>0.2857142857142857</v>
      </c>
      <c r="AT39" s="74">
        <f>SUM(D43:E43,D150:E150,D257:E257,D364:E364,D471:E471,D578:E578,D685:E685)/config!$AC$13</f>
        <v>2.1428571428571428</v>
      </c>
      <c r="AU39" s="74">
        <f>SUM(F43:G43,F150:G150,F257:G257,F364:G364,F471:G471,F578:G578,F685:G685)/config!$AC$13</f>
        <v>0.7142857142857143</v>
      </c>
      <c r="AV39" s="74">
        <f>SUM(H43,H150,H257,H364,H471,H578,H685)/config!$AC$13</f>
        <v>0</v>
      </c>
      <c r="AW39" s="75">
        <f>SUM(I43:L43,I150:L150,I257:L257,I364:L364,I471:L471,I578:L578,I685:L685)/config!$AC$13</f>
        <v>0</v>
      </c>
      <c r="AY39" s="56">
        <f t="shared" si="42"/>
        <v>0.29166666666666663</v>
      </c>
      <c r="AZ39" s="76">
        <f t="shared" si="8"/>
        <v>1</v>
      </c>
      <c r="BA39" s="77">
        <f t="shared" si="9"/>
        <v>3</v>
      </c>
      <c r="BB39" s="77">
        <f t="shared" si="10"/>
        <v>4</v>
      </c>
      <c r="BC39" s="77">
        <f t="shared" si="11"/>
        <v>5</v>
      </c>
      <c r="BD39" s="77">
        <f t="shared" si="12"/>
        <v>2</v>
      </c>
      <c r="BE39" s="77">
        <f t="shared" si="13"/>
        <v>1</v>
      </c>
      <c r="BF39" s="78">
        <f t="shared" si="14"/>
        <v>6</v>
      </c>
      <c r="BG39" s="45"/>
      <c r="BH39" s="56">
        <f t="shared" si="15"/>
        <v>0.29166666666666663</v>
      </c>
      <c r="BI39" s="73">
        <f t="shared" si="16"/>
        <v>38.6</v>
      </c>
      <c r="BJ39" s="74">
        <f t="shared" si="17"/>
        <v>44.7</v>
      </c>
      <c r="BK39" s="74">
        <f t="shared" si="18"/>
        <v>39.299999999999997</v>
      </c>
      <c r="BL39" s="74">
        <f t="shared" si="19"/>
        <v>34.700000000000003</v>
      </c>
      <c r="BM39" s="74">
        <f t="shared" si="20"/>
        <v>41.9</v>
      </c>
      <c r="BN39" s="74">
        <f t="shared" si="21"/>
        <v>48.6</v>
      </c>
      <c r="BO39" s="75">
        <f t="shared" si="22"/>
        <v>44</v>
      </c>
      <c r="BP39" s="63"/>
      <c r="BQ39" s="64">
        <f t="shared" si="23"/>
        <v>0.29166666666666663</v>
      </c>
      <c r="BR39" s="73" t="str">
        <f t="shared" si="24"/>
        <v/>
      </c>
      <c r="BS39" s="74" t="str">
        <f t="shared" si="25"/>
        <v/>
      </c>
      <c r="BT39" s="74" t="str">
        <f t="shared" si="26"/>
        <v/>
      </c>
      <c r="BU39" s="74" t="str">
        <f t="shared" si="27"/>
        <v/>
      </c>
      <c r="BV39" s="74" t="str">
        <f t="shared" si="28"/>
        <v/>
      </c>
      <c r="BW39" s="74" t="str">
        <f t="shared" si="29"/>
        <v/>
      </c>
      <c r="BX39" s="75" t="str">
        <f t="shared" si="30"/>
        <v/>
      </c>
      <c r="BY39" s="65"/>
      <c r="BZ39" s="66">
        <f t="shared" si="43"/>
        <v>41.68571428571429</v>
      </c>
      <c r="CA39" s="414" t="e">
        <f t="shared" si="31"/>
        <v>#N/A</v>
      </c>
      <c r="CB39" s="416">
        <f t="shared" si="48"/>
        <v>60</v>
      </c>
      <c r="CC39" s="65"/>
      <c r="CD39" s="73">
        <f t="shared" si="32"/>
        <v>0</v>
      </c>
      <c r="CE39" s="74">
        <f t="shared" si="33"/>
        <v>0</v>
      </c>
      <c r="CF39" s="74">
        <f t="shared" si="34"/>
        <v>0</v>
      </c>
      <c r="CG39" s="74">
        <f t="shared" si="35"/>
        <v>0</v>
      </c>
      <c r="CH39" s="74">
        <f t="shared" si="36"/>
        <v>0</v>
      </c>
      <c r="CI39" s="74">
        <f t="shared" si="37"/>
        <v>0</v>
      </c>
      <c r="CJ39" s="75">
        <f t="shared" si="38"/>
        <v>0</v>
      </c>
      <c r="CM39" s="73">
        <f t="shared" si="44"/>
        <v>38.6</v>
      </c>
      <c r="CN39" s="74">
        <f t="shared" si="49"/>
        <v>134.10000000000002</v>
      </c>
      <c r="CO39" s="74">
        <f t="shared" si="50"/>
        <v>157.19999999999999</v>
      </c>
      <c r="CP39" s="74">
        <f t="shared" si="51"/>
        <v>173.5</v>
      </c>
      <c r="CQ39" s="74">
        <f t="shared" si="52"/>
        <v>83.8</v>
      </c>
      <c r="CR39" s="74">
        <f t="shared" si="53"/>
        <v>48.6</v>
      </c>
      <c r="CS39" s="75">
        <f t="shared" si="54"/>
        <v>264</v>
      </c>
      <c r="CU39" s="511">
        <f>SUM(SUMIF($AZ$8:$BF$8, {"NON";"NEUT"}, AZ39:BF39))/config!$AC$16</f>
        <v>3.8</v>
      </c>
      <c r="CV39" s="512">
        <f t="shared" si="45"/>
        <v>0.29166666666666663</v>
      </c>
      <c r="CY39" s="73">
        <f>SUM(C43*$CY$108, C150*$CY$109, C257*$CY$110, C364*$CY$111, C471*$CY$112, C578*$CY$113, C685*$CY$114)/config!$AC$16</f>
        <v>0.4</v>
      </c>
      <c r="CZ39" s="74">
        <f>SUM(SUM(D43:E43)*$CY$108, SUM(D150:E150)*$CY$109, SUM(D257:E257)*$CY$110, SUM(D364:E364)*$CY$111, SUM(D471:E471)*$CY$112, SUM(D578:E578)*$CY$113, SUM(D685:E685)*$CY$114)/config!$AC$16</f>
        <v>2.4</v>
      </c>
      <c r="DA39" s="74">
        <f>SUM(SUM(F43:G43)*$CY$108, SUM(F150:G150)*$CY$109, SUM(F257:G257)*$CY$110, SUM(F364:G364)*$CY$111, SUM(F471:G471)*$CY$112, SUM(F578:G578)*$CY$113, SUM(F685:G685)*$CY$114)/config!$AC$16</f>
        <v>1</v>
      </c>
      <c r="DB39" s="74">
        <f>SUM(H43*$CY$108, H150*$CY$109, H257*$CY$110, H364*$CY$111, H471*$CY$112, H578*$CY$113, H685*$CY$114)/config!$AC$16</f>
        <v>0</v>
      </c>
      <c r="DC39" s="75">
        <f>SUM(SUM(I43:L43)*$CY$108, SUM(I150:L150)*$CY$109, SUM(I257:L257)*$CY$110, SUM(I364:L364)*$CY$111, SUM(I471:L471)*$CY$112, SUM(I578:L578)*$CY$113, SUM(I685:L685)*$CY$114)/config!$AC$16</f>
        <v>0</v>
      </c>
    </row>
    <row r="40" spans="1:107" ht="15" x14ac:dyDescent="0.25">
      <c r="A40" s="190" t="s">
        <v>79</v>
      </c>
      <c r="B40" s="642">
        <v>2</v>
      </c>
      <c r="C40" s="184">
        <v>0</v>
      </c>
      <c r="D40" s="184">
        <v>2</v>
      </c>
      <c r="E40" s="184">
        <v>0</v>
      </c>
      <c r="F40" s="184">
        <v>0</v>
      </c>
      <c r="G40" s="184">
        <v>0</v>
      </c>
      <c r="H40" s="184">
        <v>0</v>
      </c>
      <c r="I40" s="184">
        <v>0</v>
      </c>
      <c r="J40" s="184">
        <v>0</v>
      </c>
      <c r="K40" s="184">
        <v>0</v>
      </c>
      <c r="L40" s="184">
        <v>0</v>
      </c>
      <c r="M40" s="654" t="s">
        <v>24</v>
      </c>
      <c r="N40" s="669" t="s">
        <v>79</v>
      </c>
      <c r="O40" s="642">
        <v>0</v>
      </c>
      <c r="P40" s="184">
        <v>0</v>
      </c>
      <c r="Q40" s="184">
        <v>0</v>
      </c>
      <c r="R40" s="184">
        <v>0</v>
      </c>
      <c r="S40" s="184">
        <v>0</v>
      </c>
      <c r="T40" s="184">
        <v>0</v>
      </c>
      <c r="U40" s="184">
        <v>0</v>
      </c>
      <c r="V40" s="184">
        <v>1</v>
      </c>
      <c r="W40" s="184">
        <v>1</v>
      </c>
      <c r="X40" s="184">
        <v>0</v>
      </c>
      <c r="Y40" s="184">
        <v>0</v>
      </c>
      <c r="Z40" s="184">
        <v>0</v>
      </c>
      <c r="AA40" s="184">
        <v>0</v>
      </c>
      <c r="AB40" s="184">
        <v>0</v>
      </c>
      <c r="AC40" s="185">
        <v>45.6</v>
      </c>
      <c r="AD40" s="185" t="s">
        <v>24</v>
      </c>
      <c r="AE40" s="184">
        <v>0</v>
      </c>
      <c r="AF40" s="185">
        <v>0</v>
      </c>
      <c r="AG40" s="184">
        <v>0</v>
      </c>
      <c r="AH40" s="185">
        <v>0</v>
      </c>
      <c r="AI40" s="184">
        <v>0</v>
      </c>
      <c r="AJ40" s="643">
        <v>0</v>
      </c>
      <c r="AP40" s="401">
        <f t="shared" si="40"/>
        <v>2</v>
      </c>
      <c r="AR40" s="56">
        <f t="shared" si="41"/>
        <v>0.30208333333333331</v>
      </c>
      <c r="AS40" s="67">
        <f>SUM(C44,C151,C258,C365,C472,C579,C686)/config!$AC$13</f>
        <v>0.7142857142857143</v>
      </c>
      <c r="AT40" s="68">
        <f>SUM(D44:E44,D151:E151,D258:E258,D365:E365,D472:E472,D579:E579,D686:E686)/config!$AC$13</f>
        <v>5</v>
      </c>
      <c r="AU40" s="68">
        <f>SUM(F44:G44,F151:G151,F258:G258,F365:G365,F472:G472,F579:G579,F686:G686)/config!$AC$13</f>
        <v>0.2857142857142857</v>
      </c>
      <c r="AV40" s="68">
        <f>SUM(H44,H151,H258,H365,H472,H579,H686)/config!$AC$13</f>
        <v>0</v>
      </c>
      <c r="AW40" s="69">
        <f>SUM(I44:L44,I151:L151,I258:L258,I365:L365,I472:L472,I579:L579,I686:L686)/config!$AC$13</f>
        <v>0</v>
      </c>
      <c r="AY40" s="56">
        <f t="shared" si="42"/>
        <v>0.30208333333333331</v>
      </c>
      <c r="AZ40" s="70">
        <f t="shared" si="8"/>
        <v>10</v>
      </c>
      <c r="BA40" s="71">
        <f t="shared" si="9"/>
        <v>7</v>
      </c>
      <c r="BB40" s="71">
        <f t="shared" si="10"/>
        <v>8</v>
      </c>
      <c r="BC40" s="71">
        <f t="shared" si="11"/>
        <v>6</v>
      </c>
      <c r="BD40" s="71">
        <f t="shared" si="12"/>
        <v>5</v>
      </c>
      <c r="BE40" s="71">
        <f t="shared" si="13"/>
        <v>3</v>
      </c>
      <c r="BF40" s="72">
        <f t="shared" si="14"/>
        <v>3</v>
      </c>
      <c r="BG40" s="45"/>
      <c r="BH40" s="56">
        <f t="shared" si="15"/>
        <v>0.30208333333333331</v>
      </c>
      <c r="BI40" s="67">
        <f t="shared" si="16"/>
        <v>45.1</v>
      </c>
      <c r="BJ40" s="68">
        <f t="shared" si="17"/>
        <v>50.6</v>
      </c>
      <c r="BK40" s="68">
        <f t="shared" si="18"/>
        <v>48.4</v>
      </c>
      <c r="BL40" s="68">
        <f t="shared" si="19"/>
        <v>45.4</v>
      </c>
      <c r="BM40" s="68">
        <f t="shared" si="20"/>
        <v>46.5</v>
      </c>
      <c r="BN40" s="68">
        <f t="shared" si="21"/>
        <v>41.9</v>
      </c>
      <c r="BO40" s="69">
        <f t="shared" si="22"/>
        <v>41.8</v>
      </c>
      <c r="BP40" s="63"/>
      <c r="BQ40" s="64">
        <f t="shared" si="23"/>
        <v>0.30208333333333331</v>
      </c>
      <c r="BR40" s="67" t="str">
        <f t="shared" si="24"/>
        <v/>
      </c>
      <c r="BS40" s="68" t="str">
        <f t="shared" si="25"/>
        <v/>
      </c>
      <c r="BT40" s="68" t="str">
        <f t="shared" si="26"/>
        <v/>
      </c>
      <c r="BU40" s="68" t="str">
        <f t="shared" si="27"/>
        <v/>
      </c>
      <c r="BV40" s="68" t="str">
        <f t="shared" si="28"/>
        <v/>
      </c>
      <c r="BW40" s="68" t="str">
        <f t="shared" si="29"/>
        <v/>
      </c>
      <c r="BX40" s="69" t="str">
        <f t="shared" si="30"/>
        <v/>
      </c>
      <c r="BY40" s="65"/>
      <c r="BZ40" s="66">
        <f t="shared" si="43"/>
        <v>45.671428571428571</v>
      </c>
      <c r="CA40" s="414" t="e">
        <f t="shared" si="31"/>
        <v>#N/A</v>
      </c>
      <c r="CB40" s="416">
        <f t="shared" si="48"/>
        <v>60</v>
      </c>
      <c r="CC40" s="65"/>
      <c r="CD40" s="67">
        <f t="shared" si="32"/>
        <v>0</v>
      </c>
      <c r="CE40" s="68">
        <f t="shared" si="33"/>
        <v>0</v>
      </c>
      <c r="CF40" s="68">
        <f t="shared" si="34"/>
        <v>0</v>
      </c>
      <c r="CG40" s="68">
        <f t="shared" si="35"/>
        <v>0</v>
      </c>
      <c r="CH40" s="68">
        <f t="shared" si="36"/>
        <v>1</v>
      </c>
      <c r="CI40" s="68">
        <f t="shared" si="37"/>
        <v>0</v>
      </c>
      <c r="CJ40" s="69">
        <f t="shared" si="38"/>
        <v>0</v>
      </c>
      <c r="CM40" s="67">
        <f t="shared" si="44"/>
        <v>451</v>
      </c>
      <c r="CN40" s="68">
        <f t="shared" si="49"/>
        <v>354.2</v>
      </c>
      <c r="CO40" s="68">
        <f t="shared" si="50"/>
        <v>387.2</v>
      </c>
      <c r="CP40" s="68">
        <f t="shared" si="51"/>
        <v>272.39999999999998</v>
      </c>
      <c r="CQ40" s="68">
        <f t="shared" si="52"/>
        <v>232.5</v>
      </c>
      <c r="CR40" s="68">
        <f t="shared" si="53"/>
        <v>125.69999999999999</v>
      </c>
      <c r="CS40" s="69">
        <f t="shared" si="54"/>
        <v>125.39999999999999</v>
      </c>
      <c r="CU40" s="511">
        <f>SUM(SUMIF($AZ$8:$BF$8, {"NON";"NEUT"}, AZ40:BF40))/config!$AC$16</f>
        <v>6.8</v>
      </c>
      <c r="CV40" s="512">
        <f t="shared" si="45"/>
        <v>0.30208333333333331</v>
      </c>
      <c r="CY40" s="67">
        <f>SUM(C44*$CY$108, C151*$CY$109, C258*$CY$110, C365*$CY$111, C472*$CY$112, C579*$CY$113, C686*$CY$114)/config!$AC$16</f>
        <v>0.8</v>
      </c>
      <c r="CZ40" s="68">
        <f>SUM(SUM(D44:E44)*$CY$108, SUM(D151:E151)*$CY$109, SUM(D258:E258)*$CY$110, SUM(D365:E365)*$CY$111, SUM(D472:E472)*$CY$112, SUM(D579:E579)*$CY$113, SUM(D686:E686)*$CY$114)/config!$AC$16</f>
        <v>5.6</v>
      </c>
      <c r="DA40" s="68">
        <f>SUM(SUM(F44:G44)*$CY$108, SUM(F151:G151)*$CY$109, SUM(F258:G258)*$CY$110, SUM(F365:G365)*$CY$111, SUM(F472:G472)*$CY$112, SUM(F579:G579)*$CY$113, SUM(F686:G686)*$CY$114)/config!$AC$16</f>
        <v>0.4</v>
      </c>
      <c r="DB40" s="68">
        <f>SUM(H44*$CY$108, H151*$CY$109, H258*$CY$110, H365*$CY$111, H472*$CY$112, H579*$CY$113, H686*$CY$114)/config!$AC$16</f>
        <v>0</v>
      </c>
      <c r="DC40" s="69">
        <f>SUM(SUM(I44:L44)*$CY$108, SUM(I151:L151)*$CY$109, SUM(I258:L258)*$CY$110, SUM(I365:L365)*$CY$111, SUM(I472:L472)*$CY$112, SUM(I579:L579)*$CY$113, SUM(I686:L686)*$CY$114)/config!$AC$16</f>
        <v>0</v>
      </c>
    </row>
    <row r="41" spans="1:107" ht="15" x14ac:dyDescent="0.25">
      <c r="A41" s="190" t="s">
        <v>80</v>
      </c>
      <c r="B41" s="642">
        <v>3</v>
      </c>
      <c r="C41" s="184">
        <v>0</v>
      </c>
      <c r="D41" s="184">
        <v>3</v>
      </c>
      <c r="E41" s="184">
        <v>0</v>
      </c>
      <c r="F41" s="184">
        <v>0</v>
      </c>
      <c r="G41" s="184">
        <v>0</v>
      </c>
      <c r="H41" s="184">
        <v>0</v>
      </c>
      <c r="I41" s="184">
        <v>0</v>
      </c>
      <c r="J41" s="184">
        <v>0</v>
      </c>
      <c r="K41" s="184">
        <v>0</v>
      </c>
      <c r="L41" s="184">
        <v>0</v>
      </c>
      <c r="M41" s="654" t="s">
        <v>24</v>
      </c>
      <c r="N41" s="669" t="s">
        <v>80</v>
      </c>
      <c r="O41" s="642">
        <v>0</v>
      </c>
      <c r="P41" s="184">
        <v>0</v>
      </c>
      <c r="Q41" s="184">
        <v>0</v>
      </c>
      <c r="R41" s="184">
        <v>0</v>
      </c>
      <c r="S41" s="184">
        <v>0</v>
      </c>
      <c r="T41" s="184">
        <v>1</v>
      </c>
      <c r="U41" s="184">
        <v>0</v>
      </c>
      <c r="V41" s="184">
        <v>1</v>
      </c>
      <c r="W41" s="184">
        <v>1</v>
      </c>
      <c r="X41" s="184">
        <v>0</v>
      </c>
      <c r="Y41" s="184">
        <v>0</v>
      </c>
      <c r="Z41" s="184">
        <v>0</v>
      </c>
      <c r="AA41" s="184">
        <v>0</v>
      </c>
      <c r="AB41" s="184">
        <v>0</v>
      </c>
      <c r="AC41" s="185">
        <v>40.200000000000003</v>
      </c>
      <c r="AD41" s="185" t="s">
        <v>24</v>
      </c>
      <c r="AE41" s="184">
        <v>0</v>
      </c>
      <c r="AF41" s="185">
        <v>0</v>
      </c>
      <c r="AG41" s="184">
        <v>0</v>
      </c>
      <c r="AH41" s="185">
        <v>0</v>
      </c>
      <c r="AI41" s="184">
        <v>0</v>
      </c>
      <c r="AJ41" s="643">
        <v>0</v>
      </c>
      <c r="AP41" s="401">
        <f t="shared" si="40"/>
        <v>7</v>
      </c>
      <c r="AR41" s="56">
        <f t="shared" si="41"/>
        <v>0.3125</v>
      </c>
      <c r="AS41" s="67">
        <f>SUM(C45,C152,C259,C366,C473,C580,C687)/config!$AC$13</f>
        <v>0.5714285714285714</v>
      </c>
      <c r="AT41" s="68">
        <f>SUM(D45:E45,D152:E152,D259:E259,D366:E366,D473:E473,D580:E580,D687:E687)/config!$AC$13</f>
        <v>6.8571428571428568</v>
      </c>
      <c r="AU41" s="68">
        <f>SUM(F45:G45,F152:G152,F259:G259,F366:G366,F473:G473,F580:G580,F687:G687)/config!$AC$13</f>
        <v>1</v>
      </c>
      <c r="AV41" s="68">
        <f>SUM(H45,H152,H259,H366,H473,H580,H687)/config!$AC$13</f>
        <v>0</v>
      </c>
      <c r="AW41" s="69">
        <f>SUM(I45:L45,I152:L152,I259:L259,I366:L366,I473:L473,I580:L580,I687:L687)/config!$AC$13</f>
        <v>0</v>
      </c>
      <c r="AY41" s="56">
        <f t="shared" si="42"/>
        <v>0.3125</v>
      </c>
      <c r="AZ41" s="70">
        <f t="shared" si="8"/>
        <v>10</v>
      </c>
      <c r="BA41" s="71">
        <f t="shared" si="9"/>
        <v>10</v>
      </c>
      <c r="BB41" s="71">
        <f t="shared" si="10"/>
        <v>9</v>
      </c>
      <c r="BC41" s="71">
        <f t="shared" si="11"/>
        <v>9</v>
      </c>
      <c r="BD41" s="71">
        <f t="shared" si="12"/>
        <v>8</v>
      </c>
      <c r="BE41" s="71">
        <f t="shared" si="13"/>
        <v>3</v>
      </c>
      <c r="BF41" s="72">
        <f t="shared" si="14"/>
        <v>10</v>
      </c>
      <c r="BG41" s="45"/>
      <c r="BH41" s="56">
        <f t="shared" si="15"/>
        <v>0.3125</v>
      </c>
      <c r="BI41" s="67">
        <f t="shared" si="16"/>
        <v>41.8</v>
      </c>
      <c r="BJ41" s="68">
        <f t="shared" si="17"/>
        <v>35</v>
      </c>
      <c r="BK41" s="68">
        <f t="shared" si="18"/>
        <v>35.5</v>
      </c>
      <c r="BL41" s="68">
        <f t="shared" si="19"/>
        <v>41.9</v>
      </c>
      <c r="BM41" s="68">
        <f t="shared" si="20"/>
        <v>45.6</v>
      </c>
      <c r="BN41" s="68">
        <f t="shared" si="21"/>
        <v>45.2</v>
      </c>
      <c r="BO41" s="69">
        <f t="shared" si="22"/>
        <v>42.4</v>
      </c>
      <c r="BP41" s="63"/>
      <c r="BQ41" s="64">
        <f t="shared" si="23"/>
        <v>0.3125</v>
      </c>
      <c r="BR41" s="67" t="str">
        <f t="shared" si="24"/>
        <v/>
      </c>
      <c r="BS41" s="68" t="str">
        <f t="shared" si="25"/>
        <v/>
      </c>
      <c r="BT41" s="68" t="str">
        <f t="shared" si="26"/>
        <v/>
      </c>
      <c r="BU41" s="68" t="str">
        <f t="shared" si="27"/>
        <v/>
      </c>
      <c r="BV41" s="68" t="str">
        <f t="shared" si="28"/>
        <v/>
      </c>
      <c r="BW41" s="68" t="str">
        <f t="shared" si="29"/>
        <v/>
      </c>
      <c r="BX41" s="69" t="str">
        <f t="shared" si="30"/>
        <v/>
      </c>
      <c r="BY41" s="65"/>
      <c r="BZ41" s="66">
        <f t="shared" si="43"/>
        <v>41.057142857142857</v>
      </c>
      <c r="CA41" s="414" t="e">
        <f t="shared" si="31"/>
        <v>#N/A</v>
      </c>
      <c r="CB41" s="416">
        <f t="shared" si="48"/>
        <v>60</v>
      </c>
      <c r="CC41" s="65"/>
      <c r="CD41" s="67">
        <f t="shared" si="32"/>
        <v>0</v>
      </c>
      <c r="CE41" s="68">
        <f t="shared" si="33"/>
        <v>0</v>
      </c>
      <c r="CF41" s="68">
        <f t="shared" si="34"/>
        <v>0</v>
      </c>
      <c r="CG41" s="68">
        <f t="shared" si="35"/>
        <v>0</v>
      </c>
      <c r="CH41" s="68">
        <f t="shared" si="36"/>
        <v>0</v>
      </c>
      <c r="CI41" s="68">
        <f t="shared" si="37"/>
        <v>0</v>
      </c>
      <c r="CJ41" s="69">
        <f t="shared" si="38"/>
        <v>0</v>
      </c>
      <c r="CM41" s="67">
        <f t="shared" si="44"/>
        <v>418</v>
      </c>
      <c r="CN41" s="68">
        <f t="shared" si="49"/>
        <v>350</v>
      </c>
      <c r="CO41" s="68">
        <f t="shared" si="50"/>
        <v>319.5</v>
      </c>
      <c r="CP41" s="68">
        <f t="shared" si="51"/>
        <v>377.09999999999997</v>
      </c>
      <c r="CQ41" s="68">
        <f t="shared" si="52"/>
        <v>364.8</v>
      </c>
      <c r="CR41" s="68">
        <f t="shared" si="53"/>
        <v>135.60000000000002</v>
      </c>
      <c r="CS41" s="69">
        <f t="shared" si="54"/>
        <v>424</v>
      </c>
      <c r="CU41" s="511">
        <f>SUM(SUMIF($AZ$8:$BF$8, {"NON";"NEUT"}, AZ41:BF41))/config!$AC$16</f>
        <v>9.6</v>
      </c>
      <c r="CV41" s="512">
        <f t="shared" si="45"/>
        <v>0.3125</v>
      </c>
      <c r="CY41" s="67">
        <f>SUM(C45*$CY$108, C152*$CY$109, C259*$CY$110, C366*$CY$111, C473*$CY$112, C580*$CY$113, C687*$CY$114)/config!$AC$16</f>
        <v>0.8</v>
      </c>
      <c r="CZ41" s="68">
        <f>SUM(SUM(D45:E45)*$CY$108, SUM(D152:E152)*$CY$109, SUM(D259:E259)*$CY$110, SUM(D366:E366)*$CY$111, SUM(D473:E473)*$CY$112, SUM(D580:E580)*$CY$113, SUM(D687:E687)*$CY$114)/config!$AC$16</f>
        <v>7.4</v>
      </c>
      <c r="DA41" s="68">
        <f>SUM(SUM(F45:G45)*$CY$108, SUM(F152:G152)*$CY$109, SUM(F259:G259)*$CY$110, SUM(F366:G366)*$CY$111, SUM(F473:G473)*$CY$112, SUM(F580:G580)*$CY$113, SUM(F687:G687)*$CY$114)/config!$AC$16</f>
        <v>1.4</v>
      </c>
      <c r="DB41" s="68">
        <f>SUM(H45*$CY$108, H152*$CY$109, H259*$CY$110, H366*$CY$111, H473*$CY$112, H580*$CY$113, H687*$CY$114)/config!$AC$16</f>
        <v>0</v>
      </c>
      <c r="DC41" s="69">
        <f>SUM(SUM(I45:L45)*$CY$108, SUM(I152:L152)*$CY$109, SUM(I259:L259)*$CY$110, SUM(I366:L366)*$CY$111, SUM(I473:L473)*$CY$112, SUM(I580:L580)*$CY$113, SUM(I687:L687)*$CY$114)/config!$AC$16</f>
        <v>0</v>
      </c>
    </row>
    <row r="42" spans="1:107" ht="15.75" thickBot="1" x14ac:dyDescent="0.3">
      <c r="A42" s="190" t="s">
        <v>81</v>
      </c>
      <c r="B42" s="644">
        <v>5</v>
      </c>
      <c r="C42" s="188">
        <v>1</v>
      </c>
      <c r="D42" s="188">
        <v>4</v>
      </c>
      <c r="E42" s="188">
        <v>0</v>
      </c>
      <c r="F42" s="188">
        <v>0</v>
      </c>
      <c r="G42" s="188">
        <v>0</v>
      </c>
      <c r="H42" s="188">
        <v>0</v>
      </c>
      <c r="I42" s="188">
        <v>0</v>
      </c>
      <c r="J42" s="188">
        <v>0</v>
      </c>
      <c r="K42" s="188">
        <v>0</v>
      </c>
      <c r="L42" s="188">
        <v>0</v>
      </c>
      <c r="M42" s="655" t="s">
        <v>24</v>
      </c>
      <c r="N42" s="669" t="s">
        <v>81</v>
      </c>
      <c r="O42" s="644">
        <v>0</v>
      </c>
      <c r="P42" s="188">
        <v>0</v>
      </c>
      <c r="Q42" s="188">
        <v>1</v>
      </c>
      <c r="R42" s="188">
        <v>0</v>
      </c>
      <c r="S42" s="188">
        <v>1</v>
      </c>
      <c r="T42" s="188">
        <v>0</v>
      </c>
      <c r="U42" s="188">
        <v>0</v>
      </c>
      <c r="V42" s="188">
        <v>2</v>
      </c>
      <c r="W42" s="188">
        <v>1</v>
      </c>
      <c r="X42" s="188">
        <v>0</v>
      </c>
      <c r="Y42" s="188">
        <v>0</v>
      </c>
      <c r="Z42" s="188">
        <v>0</v>
      </c>
      <c r="AA42" s="188">
        <v>0</v>
      </c>
      <c r="AB42" s="188">
        <v>0</v>
      </c>
      <c r="AC42" s="189">
        <v>35.5</v>
      </c>
      <c r="AD42" s="189" t="s">
        <v>24</v>
      </c>
      <c r="AE42" s="188">
        <v>0</v>
      </c>
      <c r="AF42" s="189">
        <v>0</v>
      </c>
      <c r="AG42" s="188">
        <v>0</v>
      </c>
      <c r="AH42" s="189">
        <v>0</v>
      </c>
      <c r="AI42" s="188">
        <v>0</v>
      </c>
      <c r="AJ42" s="645">
        <v>0</v>
      </c>
      <c r="AP42" s="401">
        <f t="shared" si="40"/>
        <v>8</v>
      </c>
      <c r="AR42" s="56">
        <f t="shared" si="41"/>
        <v>0.32291666666666669</v>
      </c>
      <c r="AS42" s="67">
        <f>SUM(C46,C153,C260,C367,C474,C581,C688)/config!$AC$13</f>
        <v>0</v>
      </c>
      <c r="AT42" s="68">
        <f>SUM(D46:E46,D153:E153,D260:E260,D367:E367,D474:E474,D581:E581,D688:E688)/config!$AC$13</f>
        <v>10.714285714285714</v>
      </c>
      <c r="AU42" s="68">
        <f>SUM(F46:G46,F153:G153,F260:G260,F367:G367,F474:G474,F581:G581,F688:G688)/config!$AC$13</f>
        <v>1.1428571428571428</v>
      </c>
      <c r="AV42" s="68">
        <f>SUM(H46,H153,H260,H367,H474,H581,H688)/config!$AC$13</f>
        <v>0</v>
      </c>
      <c r="AW42" s="69">
        <f>SUM(I46:L46,I153:L153,I260:L260,I367:L367,I474:L474,I581:L581,I688:L688)/config!$AC$13</f>
        <v>0</v>
      </c>
      <c r="AY42" s="56">
        <f t="shared" si="42"/>
        <v>0.32291666666666669</v>
      </c>
      <c r="AZ42" s="70">
        <f t="shared" si="8"/>
        <v>15</v>
      </c>
      <c r="BA42" s="71">
        <f t="shared" si="9"/>
        <v>14</v>
      </c>
      <c r="BB42" s="71">
        <f t="shared" si="10"/>
        <v>13</v>
      </c>
      <c r="BC42" s="71">
        <f t="shared" si="11"/>
        <v>15</v>
      </c>
      <c r="BD42" s="71">
        <f t="shared" si="12"/>
        <v>9</v>
      </c>
      <c r="BE42" s="71">
        <f t="shared" si="13"/>
        <v>2</v>
      </c>
      <c r="BF42" s="72">
        <f t="shared" si="14"/>
        <v>15</v>
      </c>
      <c r="BG42" s="45"/>
      <c r="BH42" s="56">
        <f t="shared" si="15"/>
        <v>0.32291666666666669</v>
      </c>
      <c r="BI42" s="67">
        <f t="shared" si="16"/>
        <v>44.1</v>
      </c>
      <c r="BJ42" s="68">
        <f t="shared" si="17"/>
        <v>42.4</v>
      </c>
      <c r="BK42" s="68">
        <f t="shared" si="18"/>
        <v>45.5</v>
      </c>
      <c r="BL42" s="68">
        <f t="shared" si="19"/>
        <v>45.3</v>
      </c>
      <c r="BM42" s="68">
        <f t="shared" si="20"/>
        <v>45.9</v>
      </c>
      <c r="BN42" s="68">
        <f t="shared" si="21"/>
        <v>45.5</v>
      </c>
      <c r="BO42" s="69">
        <f t="shared" si="22"/>
        <v>47.6</v>
      </c>
      <c r="BP42" s="63"/>
      <c r="BQ42" s="64">
        <f t="shared" si="23"/>
        <v>0.32291666666666669</v>
      </c>
      <c r="BR42" s="67">
        <f t="shared" si="24"/>
        <v>57.2</v>
      </c>
      <c r="BS42" s="68">
        <f t="shared" si="25"/>
        <v>48.4</v>
      </c>
      <c r="BT42" s="68">
        <f t="shared" si="26"/>
        <v>56.2</v>
      </c>
      <c r="BU42" s="68">
        <f t="shared" si="27"/>
        <v>58.1</v>
      </c>
      <c r="BV42" s="68" t="str">
        <f t="shared" si="28"/>
        <v/>
      </c>
      <c r="BW42" s="68" t="str">
        <f t="shared" si="29"/>
        <v/>
      </c>
      <c r="BX42" s="69">
        <f t="shared" si="30"/>
        <v>59.6</v>
      </c>
      <c r="BY42" s="65"/>
      <c r="BZ42" s="66">
        <f t="shared" si="43"/>
        <v>45.185714285714297</v>
      </c>
      <c r="CA42" s="414">
        <f t="shared" si="31"/>
        <v>55.9</v>
      </c>
      <c r="CB42" s="416">
        <f t="shared" si="48"/>
        <v>60</v>
      </c>
      <c r="CC42" s="65"/>
      <c r="CD42" s="67">
        <f t="shared" si="32"/>
        <v>0</v>
      </c>
      <c r="CE42" s="68">
        <f t="shared" si="33"/>
        <v>0</v>
      </c>
      <c r="CF42" s="68">
        <f t="shared" si="34"/>
        <v>0</v>
      </c>
      <c r="CG42" s="68">
        <f t="shared" si="35"/>
        <v>1</v>
      </c>
      <c r="CH42" s="68">
        <f t="shared" si="36"/>
        <v>0</v>
      </c>
      <c r="CI42" s="68">
        <f t="shared" si="37"/>
        <v>0</v>
      </c>
      <c r="CJ42" s="69">
        <f t="shared" si="38"/>
        <v>2</v>
      </c>
      <c r="CM42" s="67">
        <f t="shared" si="44"/>
        <v>661.5</v>
      </c>
      <c r="CN42" s="68">
        <f t="shared" si="49"/>
        <v>593.6</v>
      </c>
      <c r="CO42" s="68">
        <f t="shared" si="50"/>
        <v>591.5</v>
      </c>
      <c r="CP42" s="68">
        <f t="shared" si="51"/>
        <v>679.5</v>
      </c>
      <c r="CQ42" s="68">
        <f t="shared" si="52"/>
        <v>413.09999999999997</v>
      </c>
      <c r="CR42" s="68">
        <f t="shared" si="53"/>
        <v>91</v>
      </c>
      <c r="CS42" s="69">
        <f t="shared" si="54"/>
        <v>714</v>
      </c>
      <c r="CU42" s="511">
        <f>SUM(SUMIF($AZ$8:$BF$8, {"NON";"NEUT"}, AZ42:BF42))/config!$AC$16</f>
        <v>14.4</v>
      </c>
      <c r="CV42" s="512">
        <f t="shared" si="45"/>
        <v>0.32291666666666669</v>
      </c>
      <c r="CY42" s="67">
        <f>SUM(C46*$CY$108, C153*$CY$109, C260*$CY$110, C367*$CY$111, C474*$CY$112, C581*$CY$113, C688*$CY$114)/config!$AC$16</f>
        <v>0</v>
      </c>
      <c r="CZ42" s="68">
        <f>SUM(SUM(D46:E46)*$CY$108, SUM(D153:E153)*$CY$109, SUM(D260:E260)*$CY$110, SUM(D367:E367)*$CY$111, SUM(D474:E474)*$CY$112, SUM(D581:E581)*$CY$113, SUM(D688:E688)*$CY$114)/config!$AC$16</f>
        <v>12.8</v>
      </c>
      <c r="DA42" s="68">
        <f>SUM(SUM(F46:G46)*$CY$108, SUM(F153:G153)*$CY$109, SUM(F260:G260)*$CY$110, SUM(F367:G367)*$CY$111, SUM(F474:G474)*$CY$112, SUM(F581:G581)*$CY$113, SUM(F688:G688)*$CY$114)/config!$AC$16</f>
        <v>1.6</v>
      </c>
      <c r="DB42" s="68">
        <f>SUM(H46*$CY$108, H153*$CY$109, H260*$CY$110, H367*$CY$111, H474*$CY$112, H581*$CY$113, H688*$CY$114)/config!$AC$16</f>
        <v>0</v>
      </c>
      <c r="DC42" s="69">
        <f>SUM(SUM(I46:L46)*$CY$108, SUM(I153:L153)*$CY$109, SUM(I260:L260)*$CY$110, SUM(I367:L367)*$CY$111, SUM(I474:L474)*$CY$112, SUM(I581:L581)*$CY$113, SUM(I688:L688)*$CY$114)/config!$AC$16</f>
        <v>0</v>
      </c>
    </row>
    <row r="43" spans="1:107" ht="15" x14ac:dyDescent="0.25">
      <c r="A43" s="190" t="s">
        <v>50</v>
      </c>
      <c r="B43" s="646">
        <v>1</v>
      </c>
      <c r="C43" s="186">
        <v>0</v>
      </c>
      <c r="D43" s="186">
        <v>0</v>
      </c>
      <c r="E43" s="186">
        <v>0</v>
      </c>
      <c r="F43" s="186">
        <v>1</v>
      </c>
      <c r="G43" s="186">
        <v>0</v>
      </c>
      <c r="H43" s="186">
        <v>0</v>
      </c>
      <c r="I43" s="186">
        <v>0</v>
      </c>
      <c r="J43" s="186">
        <v>0</v>
      </c>
      <c r="K43" s="186">
        <v>0</v>
      </c>
      <c r="L43" s="186">
        <v>0</v>
      </c>
      <c r="M43" s="656" t="s">
        <v>24</v>
      </c>
      <c r="N43" s="669" t="s">
        <v>50</v>
      </c>
      <c r="O43" s="646">
        <v>0</v>
      </c>
      <c r="P43" s="186">
        <v>0</v>
      </c>
      <c r="Q43" s="186">
        <v>0</v>
      </c>
      <c r="R43" s="186">
        <v>0</v>
      </c>
      <c r="S43" s="186">
        <v>0</v>
      </c>
      <c r="T43" s="186">
        <v>0</v>
      </c>
      <c r="U43" s="186">
        <v>1</v>
      </c>
      <c r="V43" s="186">
        <v>0</v>
      </c>
      <c r="W43" s="186">
        <v>0</v>
      </c>
      <c r="X43" s="186">
        <v>0</v>
      </c>
      <c r="Y43" s="186">
        <v>0</v>
      </c>
      <c r="Z43" s="186">
        <v>0</v>
      </c>
      <c r="AA43" s="186">
        <v>0</v>
      </c>
      <c r="AB43" s="186">
        <v>0</v>
      </c>
      <c r="AC43" s="187">
        <v>38.6</v>
      </c>
      <c r="AD43" s="187" t="s">
        <v>24</v>
      </c>
      <c r="AE43" s="186">
        <v>0</v>
      </c>
      <c r="AF43" s="187">
        <v>0</v>
      </c>
      <c r="AG43" s="186">
        <v>0</v>
      </c>
      <c r="AH43" s="187">
        <v>0</v>
      </c>
      <c r="AI43" s="186">
        <v>0</v>
      </c>
      <c r="AJ43" s="647">
        <v>0</v>
      </c>
      <c r="AP43" s="401">
        <f t="shared" si="40"/>
        <v>4</v>
      </c>
      <c r="AR43" s="56">
        <f t="shared" si="41"/>
        <v>0.33333333333333337</v>
      </c>
      <c r="AS43" s="67">
        <f>SUM(C47,C154,C261,C368,C475,C582,C689)/config!$AC$13</f>
        <v>0</v>
      </c>
      <c r="AT43" s="68">
        <f>SUM(D47:E47,D154:E154,D261:E261,D368:E368,D475:E475,D582:E582,D689:E689)/config!$AC$13</f>
        <v>4.2857142857142856</v>
      </c>
      <c r="AU43" s="68">
        <f>SUM(F47:G47,F154:G154,F261:G261,F368:G368,F475:G475,F582:G582,F689:G689)/config!$AC$13</f>
        <v>0.5714285714285714</v>
      </c>
      <c r="AV43" s="68">
        <f>SUM(H47,H154,H261,H368,H475,H582,H689)/config!$AC$13</f>
        <v>0</v>
      </c>
      <c r="AW43" s="69">
        <f>SUM(I47:L47,I154:L154,I261:L261,I368:L368,I475:L475,I582:L582,I689:L689)/config!$AC$13</f>
        <v>0</v>
      </c>
      <c r="AY43" s="56">
        <f t="shared" si="42"/>
        <v>0.33333333333333337</v>
      </c>
      <c r="AZ43" s="70">
        <f t="shared" ref="AZ43:AZ74" si="55">B47</f>
        <v>2</v>
      </c>
      <c r="BA43" s="71">
        <f t="shared" ref="BA43:BA74" si="56">B154</f>
        <v>10</v>
      </c>
      <c r="BB43" s="71">
        <f t="shared" ref="BB43:BB74" si="57">B261</f>
        <v>3</v>
      </c>
      <c r="BC43" s="71">
        <f t="shared" ref="BC43:BC74" si="58">B368</f>
        <v>8</v>
      </c>
      <c r="BD43" s="71">
        <f t="shared" ref="BD43:BD74" si="59">B475</f>
        <v>3</v>
      </c>
      <c r="BE43" s="71">
        <f t="shared" ref="BE43:BE74" si="60">B582</f>
        <v>1</v>
      </c>
      <c r="BF43" s="72">
        <f t="shared" ref="BF43:BF74" si="61">B689</f>
        <v>7</v>
      </c>
      <c r="BG43" s="45"/>
      <c r="BH43" s="56">
        <f t="shared" ref="BH43:BH74" si="62">AY43</f>
        <v>0.33333333333333337</v>
      </c>
      <c r="BI43" s="67">
        <f t="shared" ref="BI43:BI74" si="63">AC47</f>
        <v>47.7</v>
      </c>
      <c r="BJ43" s="68">
        <f t="shared" ref="BJ43:BJ74" si="64">AC154</f>
        <v>38.700000000000003</v>
      </c>
      <c r="BK43" s="68">
        <f t="shared" ref="BK43:BK74" si="65">AC261</f>
        <v>44.1</v>
      </c>
      <c r="BL43" s="68">
        <f t="shared" ref="BL43:BL74" si="66">AC368</f>
        <v>41.2</v>
      </c>
      <c r="BM43" s="68">
        <f t="shared" ref="BM43:BM74" si="67">AC475</f>
        <v>34.5</v>
      </c>
      <c r="BN43" s="68">
        <f t="shared" ref="BN43:BN74" si="68">AC582</f>
        <v>22.6</v>
      </c>
      <c r="BO43" s="69">
        <f t="shared" ref="BO43:BO74" si="69">AC689</f>
        <v>45.6</v>
      </c>
      <c r="BP43" s="63"/>
      <c r="BQ43" s="64">
        <f t="shared" ref="BQ43:BQ74" si="70">BH43</f>
        <v>0.33333333333333337</v>
      </c>
      <c r="BR43" s="67" t="str">
        <f t="shared" ref="BR43:BR74" si="71">AD47</f>
        <v/>
      </c>
      <c r="BS43" s="68" t="str">
        <f t="shared" ref="BS43:BS74" si="72">AD154</f>
        <v/>
      </c>
      <c r="BT43" s="68" t="str">
        <f t="shared" ref="BT43:BT74" si="73">AD261</f>
        <v/>
      </c>
      <c r="BU43" s="68" t="str">
        <f t="shared" ref="BU43:BU74" si="74">AD368</f>
        <v/>
      </c>
      <c r="BV43" s="68" t="str">
        <f t="shared" ref="BV43:BV74" si="75">AD475</f>
        <v/>
      </c>
      <c r="BW43" s="68" t="str">
        <f t="shared" ref="BW43:BW74" si="76">AD582</f>
        <v/>
      </c>
      <c r="BX43" s="69" t="str">
        <f t="shared" ref="BX43:BX74" si="77">AD689</f>
        <v/>
      </c>
      <c r="BY43" s="65"/>
      <c r="BZ43" s="66">
        <f t="shared" si="43"/>
        <v>39.199999999999996</v>
      </c>
      <c r="CA43" s="414" t="e">
        <f t="shared" si="31"/>
        <v>#N/A</v>
      </c>
      <c r="CB43" s="416">
        <f t="shared" si="48"/>
        <v>60</v>
      </c>
      <c r="CC43" s="65"/>
      <c r="CD43" s="67">
        <f t="shared" ref="CD43:CD74" si="78">AE47</f>
        <v>0</v>
      </c>
      <c r="CE43" s="68">
        <f t="shared" ref="CE43:CE74" si="79">AE154</f>
        <v>0</v>
      </c>
      <c r="CF43" s="68">
        <f t="shared" ref="CF43:CF74" si="80">AE261</f>
        <v>0</v>
      </c>
      <c r="CG43" s="68">
        <f t="shared" ref="CG43:CG74" si="81">AE368</f>
        <v>0</v>
      </c>
      <c r="CH43" s="68">
        <f t="shared" ref="CH43:CH74" si="82">AE475</f>
        <v>0</v>
      </c>
      <c r="CI43" s="68">
        <f t="shared" ref="CI43:CI74" si="83">AE582</f>
        <v>0</v>
      </c>
      <c r="CJ43" s="69">
        <f t="shared" ref="CJ43:CJ74" si="84">AE689</f>
        <v>0</v>
      </c>
      <c r="CM43" s="67">
        <f t="shared" si="44"/>
        <v>95.4</v>
      </c>
      <c r="CN43" s="68">
        <f t="shared" si="49"/>
        <v>387</v>
      </c>
      <c r="CO43" s="68">
        <f t="shared" si="50"/>
        <v>132.30000000000001</v>
      </c>
      <c r="CP43" s="68">
        <f t="shared" si="51"/>
        <v>329.6</v>
      </c>
      <c r="CQ43" s="68">
        <f t="shared" si="52"/>
        <v>103.5</v>
      </c>
      <c r="CR43" s="68">
        <f t="shared" si="53"/>
        <v>22.6</v>
      </c>
      <c r="CS43" s="69">
        <f t="shared" si="54"/>
        <v>319.2</v>
      </c>
      <c r="CU43" s="511">
        <f>SUM(SUMIF($AZ$8:$BF$8, {"NON";"NEUT"}, AZ43:BF43))/config!$AC$16</f>
        <v>6</v>
      </c>
      <c r="CV43" s="512">
        <f t="shared" si="45"/>
        <v>0.33333333333333337</v>
      </c>
      <c r="CY43" s="67">
        <f>SUM(C47*$CY$108, C154*$CY$109, C261*$CY$110, C368*$CY$111, C475*$CY$112, C582*$CY$113, C689*$CY$114)/config!$AC$16</f>
        <v>0</v>
      </c>
      <c r="CZ43" s="68">
        <f>SUM(SUM(D47:E47)*$CY$108, SUM(D154:E154)*$CY$109, SUM(D261:E261)*$CY$110, SUM(D368:E368)*$CY$111, SUM(D475:E475)*$CY$112, SUM(D582:E582)*$CY$113, SUM(D689:E689)*$CY$114)/config!$AC$16</f>
        <v>5.4</v>
      </c>
      <c r="DA43" s="68">
        <f>SUM(SUM(F47:G47)*$CY$108, SUM(F154:G154)*$CY$109, SUM(F261:G261)*$CY$110, SUM(F368:G368)*$CY$111, SUM(F475:G475)*$CY$112, SUM(F582:G582)*$CY$113, SUM(F689:G689)*$CY$114)/config!$AC$16</f>
        <v>0.6</v>
      </c>
      <c r="DB43" s="68">
        <f>SUM(H47*$CY$108, H154*$CY$109, H261*$CY$110, H368*$CY$111, H475*$CY$112, H582*$CY$113, H689*$CY$114)/config!$AC$16</f>
        <v>0</v>
      </c>
      <c r="DC43" s="69">
        <f>SUM(SUM(I47:L47)*$CY$108, SUM(I154:L154)*$CY$109, SUM(I261:L261)*$CY$110, SUM(I368:L368)*$CY$111, SUM(I475:L475)*$CY$112, SUM(I582:L582)*$CY$113, SUM(I689:L689)*$CY$114)/config!$AC$16</f>
        <v>0</v>
      </c>
    </row>
    <row r="44" spans="1:107" ht="15" x14ac:dyDescent="0.25">
      <c r="A44" s="190" t="s">
        <v>82</v>
      </c>
      <c r="B44" s="642">
        <v>10</v>
      </c>
      <c r="C44" s="184">
        <v>1</v>
      </c>
      <c r="D44" s="184">
        <v>9</v>
      </c>
      <c r="E44" s="184">
        <v>0</v>
      </c>
      <c r="F44" s="184">
        <v>0</v>
      </c>
      <c r="G44" s="184">
        <v>0</v>
      </c>
      <c r="H44" s="184">
        <v>0</v>
      </c>
      <c r="I44" s="184">
        <v>0</v>
      </c>
      <c r="J44" s="184">
        <v>0</v>
      </c>
      <c r="K44" s="184">
        <v>0</v>
      </c>
      <c r="L44" s="184">
        <v>0</v>
      </c>
      <c r="M44" s="654" t="s">
        <v>24</v>
      </c>
      <c r="N44" s="669" t="s">
        <v>82</v>
      </c>
      <c r="O44" s="642">
        <v>0</v>
      </c>
      <c r="P44" s="184">
        <v>0</v>
      </c>
      <c r="Q44" s="184">
        <v>0</v>
      </c>
      <c r="R44" s="184">
        <v>0</v>
      </c>
      <c r="S44" s="184">
        <v>0</v>
      </c>
      <c r="T44" s="184">
        <v>1</v>
      </c>
      <c r="U44" s="184">
        <v>2</v>
      </c>
      <c r="V44" s="184">
        <v>0</v>
      </c>
      <c r="W44" s="184">
        <v>5</v>
      </c>
      <c r="X44" s="184">
        <v>2</v>
      </c>
      <c r="Y44" s="184">
        <v>0</v>
      </c>
      <c r="Z44" s="184">
        <v>0</v>
      </c>
      <c r="AA44" s="184">
        <v>0</v>
      </c>
      <c r="AB44" s="184">
        <v>0</v>
      </c>
      <c r="AC44" s="185">
        <v>45.1</v>
      </c>
      <c r="AD44" s="185" t="s">
        <v>24</v>
      </c>
      <c r="AE44" s="184">
        <v>0</v>
      </c>
      <c r="AF44" s="185">
        <v>0</v>
      </c>
      <c r="AG44" s="184">
        <v>0</v>
      </c>
      <c r="AH44" s="185">
        <v>0</v>
      </c>
      <c r="AI44" s="184">
        <v>0</v>
      </c>
      <c r="AJ44" s="643">
        <v>0</v>
      </c>
      <c r="AP44" s="401">
        <f t="shared" si="40"/>
        <v>7</v>
      </c>
      <c r="AR44" s="56">
        <f t="shared" si="41"/>
        <v>0.34375000000000006</v>
      </c>
      <c r="AS44" s="67">
        <f>SUM(C48,C155,C262,C369,C476,C583,C690)/config!$AC$13</f>
        <v>0.14285714285714285</v>
      </c>
      <c r="AT44" s="68">
        <f>SUM(D48:E48,D155:E155,D262:E262,D369:E369,D476:E476,D583:E583,D690:E690)/config!$AC$13</f>
        <v>4.5714285714285712</v>
      </c>
      <c r="AU44" s="68">
        <f>SUM(F48:G48,F155:G155,F262:G262,F369:G369,F476:G476,F583:G583,F690:G690)/config!$AC$13</f>
        <v>1</v>
      </c>
      <c r="AV44" s="68">
        <f>SUM(H48,H155,H262,H369,H476,H583,H690)/config!$AC$13</f>
        <v>0</v>
      </c>
      <c r="AW44" s="69">
        <f>SUM(I48:L48,I155:L155,I262:L262,I369:L369,I476:L476,I583:L583,I690:L690)/config!$AC$13</f>
        <v>0</v>
      </c>
      <c r="AY44" s="56">
        <f t="shared" si="42"/>
        <v>0.34375000000000006</v>
      </c>
      <c r="AZ44" s="70">
        <f t="shared" si="55"/>
        <v>9</v>
      </c>
      <c r="BA44" s="71">
        <f t="shared" si="56"/>
        <v>6</v>
      </c>
      <c r="BB44" s="71">
        <f t="shared" si="57"/>
        <v>6</v>
      </c>
      <c r="BC44" s="71">
        <f t="shared" si="58"/>
        <v>6</v>
      </c>
      <c r="BD44" s="71">
        <f t="shared" si="59"/>
        <v>2</v>
      </c>
      <c r="BE44" s="71">
        <f t="shared" si="60"/>
        <v>4</v>
      </c>
      <c r="BF44" s="72">
        <f t="shared" si="61"/>
        <v>7</v>
      </c>
      <c r="BG44" s="45"/>
      <c r="BH44" s="56">
        <f t="shared" si="62"/>
        <v>0.34375000000000006</v>
      </c>
      <c r="BI44" s="67">
        <f t="shared" si="63"/>
        <v>43.5</v>
      </c>
      <c r="BJ44" s="68">
        <f t="shared" si="64"/>
        <v>46.6</v>
      </c>
      <c r="BK44" s="68">
        <f t="shared" si="65"/>
        <v>44.8</v>
      </c>
      <c r="BL44" s="68">
        <f t="shared" si="66"/>
        <v>44.1</v>
      </c>
      <c r="BM44" s="68">
        <f t="shared" si="67"/>
        <v>32.700000000000003</v>
      </c>
      <c r="BN44" s="68">
        <f t="shared" si="68"/>
        <v>36.4</v>
      </c>
      <c r="BO44" s="69">
        <f t="shared" si="69"/>
        <v>43</v>
      </c>
      <c r="BP44" s="63"/>
      <c r="BQ44" s="64">
        <f t="shared" si="70"/>
        <v>0.34375000000000006</v>
      </c>
      <c r="BR44" s="67" t="str">
        <f t="shared" si="71"/>
        <v/>
      </c>
      <c r="BS44" s="68" t="str">
        <f t="shared" si="72"/>
        <v/>
      </c>
      <c r="BT44" s="68" t="str">
        <f t="shared" si="73"/>
        <v/>
      </c>
      <c r="BU44" s="68" t="str">
        <f t="shared" si="74"/>
        <v/>
      </c>
      <c r="BV44" s="68" t="str">
        <f t="shared" si="75"/>
        <v/>
      </c>
      <c r="BW44" s="68" t="str">
        <f t="shared" si="76"/>
        <v/>
      </c>
      <c r="BX44" s="69" t="str">
        <f t="shared" si="77"/>
        <v/>
      </c>
      <c r="BY44" s="65"/>
      <c r="BZ44" s="66">
        <f t="shared" si="43"/>
        <v>41.585714285714289</v>
      </c>
      <c r="CA44" s="414" t="e">
        <f t="shared" si="31"/>
        <v>#N/A</v>
      </c>
      <c r="CB44" s="416">
        <f t="shared" si="48"/>
        <v>60</v>
      </c>
      <c r="CC44" s="65"/>
      <c r="CD44" s="67">
        <f t="shared" si="78"/>
        <v>0</v>
      </c>
      <c r="CE44" s="68">
        <f t="shared" si="79"/>
        <v>0</v>
      </c>
      <c r="CF44" s="68">
        <f t="shared" si="80"/>
        <v>0</v>
      </c>
      <c r="CG44" s="68">
        <f t="shared" si="81"/>
        <v>0</v>
      </c>
      <c r="CH44" s="68">
        <f t="shared" si="82"/>
        <v>0</v>
      </c>
      <c r="CI44" s="68">
        <f t="shared" si="83"/>
        <v>0</v>
      </c>
      <c r="CJ44" s="69">
        <f t="shared" si="84"/>
        <v>0</v>
      </c>
      <c r="CM44" s="67">
        <f t="shared" si="44"/>
        <v>391.5</v>
      </c>
      <c r="CN44" s="68">
        <f t="shared" si="49"/>
        <v>279.60000000000002</v>
      </c>
      <c r="CO44" s="68">
        <f t="shared" si="50"/>
        <v>268.79999999999995</v>
      </c>
      <c r="CP44" s="68">
        <f t="shared" si="51"/>
        <v>264.60000000000002</v>
      </c>
      <c r="CQ44" s="68">
        <f t="shared" si="52"/>
        <v>65.400000000000006</v>
      </c>
      <c r="CR44" s="68">
        <f t="shared" si="53"/>
        <v>145.6</v>
      </c>
      <c r="CS44" s="69">
        <f t="shared" si="54"/>
        <v>301</v>
      </c>
      <c r="CU44" s="511">
        <f>SUM(SUMIF($AZ$8:$BF$8, {"NON";"NEUT"}, AZ44:BF44))/config!$AC$16</f>
        <v>6.8</v>
      </c>
      <c r="CV44" s="512">
        <f t="shared" si="45"/>
        <v>0.34375000000000006</v>
      </c>
      <c r="CY44" s="67">
        <f>SUM(C48*$CY$108, C155*$CY$109, C262*$CY$110, C369*$CY$111, C476*$CY$112, C583*$CY$113, C690*$CY$114)/config!$AC$16</f>
        <v>0</v>
      </c>
      <c r="CZ44" s="68">
        <f>SUM(SUM(D48:E48)*$CY$108, SUM(D155:E155)*$CY$109, SUM(D262:E262)*$CY$110, SUM(D369:E369)*$CY$111, SUM(D476:E476)*$CY$112, SUM(D583:E583)*$CY$113, SUM(D690:E690)*$CY$114)/config!$AC$16</f>
        <v>5.6</v>
      </c>
      <c r="DA44" s="68">
        <f>SUM(SUM(F48:G48)*$CY$108, SUM(F155:G155)*$CY$109, SUM(F262:G262)*$CY$110, SUM(F369:G369)*$CY$111, SUM(F476:G476)*$CY$112, SUM(F583:G583)*$CY$113, SUM(F690:G690)*$CY$114)/config!$AC$16</f>
        <v>1.2</v>
      </c>
      <c r="DB44" s="68">
        <f>SUM(H48*$CY$108, H155*$CY$109, H262*$CY$110, H369*$CY$111, H476*$CY$112, H583*$CY$113, H690*$CY$114)/config!$AC$16</f>
        <v>0</v>
      </c>
      <c r="DC44" s="69">
        <f>SUM(SUM(I48:L48)*$CY$108, SUM(I155:L155)*$CY$109, SUM(I262:L262)*$CY$110, SUM(I369:L369)*$CY$111, SUM(I476:L476)*$CY$112, SUM(I583:L583)*$CY$113, SUM(I690:L690)*$CY$114)/config!$AC$16</f>
        <v>0</v>
      </c>
    </row>
    <row r="45" spans="1:107" ht="15" x14ac:dyDescent="0.25">
      <c r="A45" s="190" t="s">
        <v>83</v>
      </c>
      <c r="B45" s="642">
        <v>10</v>
      </c>
      <c r="C45" s="184">
        <v>1</v>
      </c>
      <c r="D45" s="184">
        <v>8</v>
      </c>
      <c r="E45" s="184">
        <v>0</v>
      </c>
      <c r="F45" s="184">
        <v>1</v>
      </c>
      <c r="G45" s="184">
        <v>0</v>
      </c>
      <c r="H45" s="184">
        <v>0</v>
      </c>
      <c r="I45" s="184">
        <v>0</v>
      </c>
      <c r="J45" s="184">
        <v>0</v>
      </c>
      <c r="K45" s="184">
        <v>0</v>
      </c>
      <c r="L45" s="184">
        <v>0</v>
      </c>
      <c r="M45" s="654" t="s">
        <v>24</v>
      </c>
      <c r="N45" s="669" t="s">
        <v>83</v>
      </c>
      <c r="O45" s="642">
        <v>0</v>
      </c>
      <c r="P45" s="184">
        <v>0</v>
      </c>
      <c r="Q45" s="184">
        <v>0</v>
      </c>
      <c r="R45" s="184">
        <v>1</v>
      </c>
      <c r="S45" s="184">
        <v>0</v>
      </c>
      <c r="T45" s="184">
        <v>1</v>
      </c>
      <c r="U45" s="184">
        <v>1</v>
      </c>
      <c r="V45" s="184">
        <v>2</v>
      </c>
      <c r="W45" s="184">
        <v>4</v>
      </c>
      <c r="X45" s="184">
        <v>1</v>
      </c>
      <c r="Y45" s="184">
        <v>0</v>
      </c>
      <c r="Z45" s="184">
        <v>0</v>
      </c>
      <c r="AA45" s="184">
        <v>0</v>
      </c>
      <c r="AB45" s="184">
        <v>0</v>
      </c>
      <c r="AC45" s="185">
        <v>41.8</v>
      </c>
      <c r="AD45" s="185" t="s">
        <v>24</v>
      </c>
      <c r="AE45" s="184">
        <v>0</v>
      </c>
      <c r="AF45" s="185">
        <v>0</v>
      </c>
      <c r="AG45" s="184">
        <v>0</v>
      </c>
      <c r="AH45" s="185">
        <v>0</v>
      </c>
      <c r="AI45" s="184">
        <v>0</v>
      </c>
      <c r="AJ45" s="643">
        <v>0</v>
      </c>
      <c r="AP45" s="401">
        <f t="shared" si="40"/>
        <v>9</v>
      </c>
      <c r="AR45" s="56">
        <f t="shared" si="41"/>
        <v>0.35416666666666674</v>
      </c>
      <c r="AS45" s="67">
        <f>SUM(C49,C156,C263,C370,C477,C584,C691)/config!$AC$13</f>
        <v>0.14285714285714285</v>
      </c>
      <c r="AT45" s="68">
        <f>SUM(D49:E49,D156:E156,D263:E263,D370:E370,D477:E477,D584:E584,D691:E691)/config!$AC$13</f>
        <v>7.2857142857142856</v>
      </c>
      <c r="AU45" s="68">
        <f>SUM(F49:G49,F156:G156,F263:G263,F370:G370,F477:G477,F584:G584,F691:G691)/config!$AC$13</f>
        <v>1.5714285714285714</v>
      </c>
      <c r="AV45" s="68">
        <f>SUM(H49,H156,H263,H370,H477,H584,H691)/config!$AC$13</f>
        <v>0</v>
      </c>
      <c r="AW45" s="69">
        <f>SUM(I49:L49,I156:L156,I263:L263,I370:L370,I477:L477,I584:L584,I691:L691)/config!$AC$13</f>
        <v>0</v>
      </c>
      <c r="AY45" s="56">
        <f t="shared" si="42"/>
        <v>0.35416666666666674</v>
      </c>
      <c r="AZ45" s="70">
        <f t="shared" si="55"/>
        <v>12</v>
      </c>
      <c r="BA45" s="71">
        <f t="shared" si="56"/>
        <v>15</v>
      </c>
      <c r="BB45" s="71">
        <f t="shared" si="57"/>
        <v>7</v>
      </c>
      <c r="BC45" s="71">
        <f t="shared" si="58"/>
        <v>8</v>
      </c>
      <c r="BD45" s="71">
        <f t="shared" si="59"/>
        <v>8</v>
      </c>
      <c r="BE45" s="71">
        <f t="shared" si="60"/>
        <v>3</v>
      </c>
      <c r="BF45" s="72">
        <f t="shared" si="61"/>
        <v>10</v>
      </c>
      <c r="BG45" s="45"/>
      <c r="BH45" s="56">
        <f t="shared" si="62"/>
        <v>0.35416666666666674</v>
      </c>
      <c r="BI45" s="67">
        <f t="shared" si="63"/>
        <v>41.9</v>
      </c>
      <c r="BJ45" s="68">
        <f t="shared" si="64"/>
        <v>38.799999999999997</v>
      </c>
      <c r="BK45" s="68">
        <f t="shared" si="65"/>
        <v>42.8</v>
      </c>
      <c r="BL45" s="68">
        <f t="shared" si="66"/>
        <v>33.6</v>
      </c>
      <c r="BM45" s="68">
        <f t="shared" si="67"/>
        <v>40.6</v>
      </c>
      <c r="BN45" s="68">
        <f t="shared" si="68"/>
        <v>36.4</v>
      </c>
      <c r="BO45" s="69">
        <f t="shared" si="69"/>
        <v>36.4</v>
      </c>
      <c r="BP45" s="63"/>
      <c r="BQ45" s="64">
        <f t="shared" si="70"/>
        <v>0.35416666666666674</v>
      </c>
      <c r="BR45" s="67">
        <f t="shared" si="71"/>
        <v>50.6</v>
      </c>
      <c r="BS45" s="68">
        <f t="shared" si="72"/>
        <v>46.4</v>
      </c>
      <c r="BT45" s="68" t="str">
        <f t="shared" si="73"/>
        <v/>
      </c>
      <c r="BU45" s="68" t="str">
        <f t="shared" si="74"/>
        <v/>
      </c>
      <c r="BV45" s="68" t="str">
        <f t="shared" si="75"/>
        <v/>
      </c>
      <c r="BW45" s="68" t="str">
        <f t="shared" si="76"/>
        <v/>
      </c>
      <c r="BX45" s="69" t="str">
        <f t="shared" si="77"/>
        <v/>
      </c>
      <c r="BY45" s="65"/>
      <c r="BZ45" s="66">
        <f t="shared" si="43"/>
        <v>38.642857142857146</v>
      </c>
      <c r="CA45" s="414">
        <f t="shared" si="31"/>
        <v>48.5</v>
      </c>
      <c r="CB45" s="416">
        <f t="shared" si="48"/>
        <v>60</v>
      </c>
      <c r="CC45" s="65"/>
      <c r="CD45" s="67">
        <f t="shared" si="78"/>
        <v>0</v>
      </c>
      <c r="CE45" s="68">
        <f t="shared" si="79"/>
        <v>0</v>
      </c>
      <c r="CF45" s="68">
        <f t="shared" si="80"/>
        <v>1</v>
      </c>
      <c r="CG45" s="68">
        <f t="shared" si="81"/>
        <v>0</v>
      </c>
      <c r="CH45" s="68">
        <f t="shared" si="82"/>
        <v>0</v>
      </c>
      <c r="CI45" s="68">
        <f t="shared" si="83"/>
        <v>0</v>
      </c>
      <c r="CJ45" s="69">
        <f t="shared" si="84"/>
        <v>0</v>
      </c>
      <c r="CM45" s="67">
        <f t="shared" si="44"/>
        <v>502.79999999999995</v>
      </c>
      <c r="CN45" s="68">
        <f t="shared" si="49"/>
        <v>582</v>
      </c>
      <c r="CO45" s="68">
        <f t="shared" si="50"/>
        <v>299.59999999999997</v>
      </c>
      <c r="CP45" s="68">
        <f t="shared" si="51"/>
        <v>268.8</v>
      </c>
      <c r="CQ45" s="68">
        <f t="shared" si="52"/>
        <v>324.8</v>
      </c>
      <c r="CR45" s="68">
        <f t="shared" si="53"/>
        <v>109.19999999999999</v>
      </c>
      <c r="CS45" s="69">
        <f t="shared" si="54"/>
        <v>364</v>
      </c>
      <c r="CU45" s="511">
        <f>SUM(SUMIF($AZ$8:$BF$8, {"NON";"NEUT"}, AZ45:BF45))/config!$AC$16</f>
        <v>10.4</v>
      </c>
      <c r="CV45" s="512">
        <f t="shared" si="45"/>
        <v>0.35416666666666674</v>
      </c>
      <c r="CY45" s="67">
        <f>SUM(C49*$CY$108, C156*$CY$109, C263*$CY$110, C370*$CY$111, C477*$CY$112, C584*$CY$113, C691*$CY$114)/config!$AC$16</f>
        <v>0.2</v>
      </c>
      <c r="CZ45" s="68">
        <f>SUM(SUM(D49:E49)*$CY$108, SUM(D156:E156)*$CY$109, SUM(D263:E263)*$CY$110, SUM(D370:E370)*$CY$111, SUM(D477:E477)*$CY$112, SUM(D584:E584)*$CY$113, SUM(D691:E691)*$CY$114)/config!$AC$16</f>
        <v>8.1999999999999993</v>
      </c>
      <c r="DA45" s="68">
        <f>SUM(SUM(F49:G49)*$CY$108, SUM(F156:G156)*$CY$109, SUM(F263:G263)*$CY$110, SUM(F370:G370)*$CY$111, SUM(F477:G477)*$CY$112, SUM(F584:G584)*$CY$113, SUM(F691:G691)*$CY$114)/config!$AC$16</f>
        <v>2</v>
      </c>
      <c r="DB45" s="68">
        <f>SUM(H49*$CY$108, H156*$CY$109, H263*$CY$110, H370*$CY$111, H477*$CY$112, H584*$CY$113, H691*$CY$114)/config!$AC$16</f>
        <v>0</v>
      </c>
      <c r="DC45" s="69">
        <f>SUM(SUM(I49:L49)*$CY$108, SUM(I156:L156)*$CY$109, SUM(I263:L263)*$CY$110, SUM(I370:L370)*$CY$111, SUM(I477:L477)*$CY$112, SUM(I584:L584)*$CY$113, SUM(I691:L691)*$CY$114)/config!$AC$16</f>
        <v>0</v>
      </c>
    </row>
    <row r="46" spans="1:107" ht="15" x14ac:dyDescent="0.25">
      <c r="A46" s="190" t="s">
        <v>84</v>
      </c>
      <c r="B46" s="642">
        <v>15</v>
      </c>
      <c r="C46" s="184">
        <v>0</v>
      </c>
      <c r="D46" s="184">
        <v>15</v>
      </c>
      <c r="E46" s="184">
        <v>0</v>
      </c>
      <c r="F46" s="184">
        <v>0</v>
      </c>
      <c r="G46" s="184">
        <v>0</v>
      </c>
      <c r="H46" s="184">
        <v>0</v>
      </c>
      <c r="I46" s="184">
        <v>0</v>
      </c>
      <c r="J46" s="184">
        <v>0</v>
      </c>
      <c r="K46" s="184">
        <v>0</v>
      </c>
      <c r="L46" s="184">
        <v>0</v>
      </c>
      <c r="M46" s="654" t="s">
        <v>24</v>
      </c>
      <c r="N46" s="669" t="s">
        <v>84</v>
      </c>
      <c r="O46" s="642">
        <v>0</v>
      </c>
      <c r="P46" s="184">
        <v>0</v>
      </c>
      <c r="Q46" s="184">
        <v>0</v>
      </c>
      <c r="R46" s="184">
        <v>0</v>
      </c>
      <c r="S46" s="184">
        <v>0</v>
      </c>
      <c r="T46" s="184">
        <v>1</v>
      </c>
      <c r="U46" s="184">
        <v>5</v>
      </c>
      <c r="V46" s="184">
        <v>4</v>
      </c>
      <c r="W46" s="184">
        <v>1</v>
      </c>
      <c r="X46" s="184">
        <v>4</v>
      </c>
      <c r="Y46" s="184">
        <v>0</v>
      </c>
      <c r="Z46" s="184">
        <v>0</v>
      </c>
      <c r="AA46" s="184">
        <v>0</v>
      </c>
      <c r="AB46" s="184">
        <v>0</v>
      </c>
      <c r="AC46" s="185">
        <v>44.1</v>
      </c>
      <c r="AD46" s="185">
        <v>57.2</v>
      </c>
      <c r="AE46" s="184">
        <v>0</v>
      </c>
      <c r="AF46" s="185">
        <v>0</v>
      </c>
      <c r="AG46" s="184">
        <v>0</v>
      </c>
      <c r="AH46" s="185">
        <v>0</v>
      </c>
      <c r="AI46" s="184">
        <v>0</v>
      </c>
      <c r="AJ46" s="643">
        <v>0</v>
      </c>
      <c r="AP46" s="401">
        <f t="shared" si="40"/>
        <v>8</v>
      </c>
      <c r="AR46" s="56">
        <f t="shared" si="41"/>
        <v>0.36458333333333343</v>
      </c>
      <c r="AS46" s="67">
        <f>SUM(C50,C157,C264,C371,C478,C585,C692)/config!$AC$13</f>
        <v>0</v>
      </c>
      <c r="AT46" s="68">
        <f>SUM(D50:E50,D157:E157,D264:E264,D371:E371,D478:E478,D585:E585,D692:E692)/config!$AC$13</f>
        <v>8.8571428571428577</v>
      </c>
      <c r="AU46" s="68">
        <f>SUM(F50:G50,F157:G157,F264:G264,F371:G371,F478:G478,F585:G585,F692:G692)/config!$AC$13</f>
        <v>1.1428571428571428</v>
      </c>
      <c r="AV46" s="68">
        <f>SUM(H50,H157,H264,H371,H478,H585,H692)/config!$AC$13</f>
        <v>0.14285714285714285</v>
      </c>
      <c r="AW46" s="69">
        <f>SUM(I50:L50,I157:L157,I264:L264,I371:L371,I478:L478,I585:L585,I692:L692)/config!$AC$13</f>
        <v>0</v>
      </c>
      <c r="AY46" s="56">
        <f t="shared" si="42"/>
        <v>0.36458333333333343</v>
      </c>
      <c r="AZ46" s="70">
        <f t="shared" si="55"/>
        <v>14</v>
      </c>
      <c r="BA46" s="71">
        <f t="shared" si="56"/>
        <v>8</v>
      </c>
      <c r="BB46" s="71">
        <f t="shared" si="57"/>
        <v>11</v>
      </c>
      <c r="BC46" s="71">
        <f t="shared" si="58"/>
        <v>13</v>
      </c>
      <c r="BD46" s="71">
        <f t="shared" si="59"/>
        <v>8</v>
      </c>
      <c r="BE46" s="71">
        <f t="shared" si="60"/>
        <v>4</v>
      </c>
      <c r="BF46" s="72">
        <f t="shared" si="61"/>
        <v>13</v>
      </c>
      <c r="BG46" s="45"/>
      <c r="BH46" s="56">
        <f t="shared" si="62"/>
        <v>0.36458333333333343</v>
      </c>
      <c r="BI46" s="67">
        <f t="shared" si="63"/>
        <v>33.700000000000003</v>
      </c>
      <c r="BJ46" s="68">
        <f t="shared" si="64"/>
        <v>36</v>
      </c>
      <c r="BK46" s="68">
        <f t="shared" si="65"/>
        <v>45.1</v>
      </c>
      <c r="BL46" s="68">
        <f t="shared" si="66"/>
        <v>29.3</v>
      </c>
      <c r="BM46" s="68">
        <f t="shared" si="67"/>
        <v>44.8</v>
      </c>
      <c r="BN46" s="68">
        <f t="shared" si="68"/>
        <v>36.5</v>
      </c>
      <c r="BO46" s="69">
        <f t="shared" si="69"/>
        <v>39.700000000000003</v>
      </c>
      <c r="BP46" s="63"/>
      <c r="BQ46" s="64">
        <f t="shared" si="70"/>
        <v>0.36458333333333343</v>
      </c>
      <c r="BR46" s="67">
        <f t="shared" si="71"/>
        <v>39.9</v>
      </c>
      <c r="BS46" s="68" t="str">
        <f t="shared" si="72"/>
        <v/>
      </c>
      <c r="BT46" s="68">
        <f t="shared" si="73"/>
        <v>57.4</v>
      </c>
      <c r="BU46" s="68">
        <f t="shared" si="74"/>
        <v>47.8</v>
      </c>
      <c r="BV46" s="68" t="str">
        <f t="shared" si="75"/>
        <v/>
      </c>
      <c r="BW46" s="68" t="str">
        <f t="shared" si="76"/>
        <v/>
      </c>
      <c r="BX46" s="69">
        <f t="shared" si="77"/>
        <v>51.8</v>
      </c>
      <c r="BY46" s="65"/>
      <c r="BZ46" s="66">
        <f t="shared" si="43"/>
        <v>37.871428571428574</v>
      </c>
      <c r="CA46" s="414">
        <f t="shared" si="31"/>
        <v>49.224999999999994</v>
      </c>
      <c r="CB46" s="416">
        <f t="shared" si="48"/>
        <v>60</v>
      </c>
      <c r="CC46" s="65"/>
      <c r="CD46" s="67">
        <f t="shared" si="78"/>
        <v>0</v>
      </c>
      <c r="CE46" s="68">
        <f t="shared" si="79"/>
        <v>0</v>
      </c>
      <c r="CF46" s="68">
        <f t="shared" si="80"/>
        <v>1</v>
      </c>
      <c r="CG46" s="68">
        <f t="shared" si="81"/>
        <v>0</v>
      </c>
      <c r="CH46" s="68">
        <f t="shared" si="82"/>
        <v>0</v>
      </c>
      <c r="CI46" s="68">
        <f t="shared" si="83"/>
        <v>0</v>
      </c>
      <c r="CJ46" s="69">
        <f t="shared" si="84"/>
        <v>1</v>
      </c>
      <c r="CM46" s="67">
        <f t="shared" si="44"/>
        <v>471.80000000000007</v>
      </c>
      <c r="CN46" s="68">
        <f t="shared" si="49"/>
        <v>288</v>
      </c>
      <c r="CO46" s="68">
        <f t="shared" si="50"/>
        <v>496.1</v>
      </c>
      <c r="CP46" s="68">
        <f t="shared" si="51"/>
        <v>380.90000000000003</v>
      </c>
      <c r="CQ46" s="68">
        <f t="shared" si="52"/>
        <v>358.4</v>
      </c>
      <c r="CR46" s="68">
        <f t="shared" si="53"/>
        <v>146</v>
      </c>
      <c r="CS46" s="69">
        <f t="shared" si="54"/>
        <v>516.1</v>
      </c>
      <c r="CU46" s="511">
        <f>SUM(SUMIF($AZ$8:$BF$8, {"NON";"NEUT"}, AZ46:BF46))/config!$AC$16</f>
        <v>11.8</v>
      </c>
      <c r="CV46" s="512">
        <f t="shared" si="45"/>
        <v>0.36458333333333343</v>
      </c>
      <c r="CY46" s="67">
        <f>SUM(C50*$CY$108, C157*$CY$109, C264*$CY$110, C371*$CY$111, C478*$CY$112, C585*$CY$113, C692*$CY$114)/config!$AC$16</f>
        <v>0</v>
      </c>
      <c r="CZ46" s="68">
        <f>SUM(SUM(D50:E50)*$CY$108, SUM(D157:E157)*$CY$109, SUM(D264:E264)*$CY$110, SUM(D371:E371)*$CY$111, SUM(D478:E478)*$CY$112, SUM(D585:E585)*$CY$113, SUM(D692:E692)*$CY$114)/config!$AC$16</f>
        <v>10.199999999999999</v>
      </c>
      <c r="DA46" s="68">
        <f>SUM(SUM(F50:G50)*$CY$108, SUM(F157:G157)*$CY$109, SUM(F264:G264)*$CY$110, SUM(F371:G371)*$CY$111, SUM(F478:G478)*$CY$112, SUM(F585:G585)*$CY$113, SUM(F692:G692)*$CY$114)/config!$AC$16</f>
        <v>1.4</v>
      </c>
      <c r="DB46" s="68">
        <f>SUM(H50*$CY$108, H157*$CY$109, H264*$CY$110, H371*$CY$111, H478*$CY$112, H585*$CY$113, H692*$CY$114)/config!$AC$16</f>
        <v>0.2</v>
      </c>
      <c r="DC46" s="69">
        <f>SUM(SUM(I50:L50)*$CY$108, SUM(I157:L157)*$CY$109, SUM(I264:L264)*$CY$110, SUM(I371:L371)*$CY$111, SUM(I478:L478)*$CY$112, SUM(I585:L585)*$CY$113, SUM(I692:L692)*$CY$114)/config!$AC$16</f>
        <v>0</v>
      </c>
    </row>
    <row r="47" spans="1:107" ht="15" x14ac:dyDescent="0.25">
      <c r="A47" s="190" t="s">
        <v>51</v>
      </c>
      <c r="B47" s="642">
        <v>2</v>
      </c>
      <c r="C47" s="184">
        <v>0</v>
      </c>
      <c r="D47" s="184">
        <v>2</v>
      </c>
      <c r="E47" s="184">
        <v>0</v>
      </c>
      <c r="F47" s="184">
        <v>0</v>
      </c>
      <c r="G47" s="184">
        <v>0</v>
      </c>
      <c r="H47" s="184">
        <v>0</v>
      </c>
      <c r="I47" s="184">
        <v>0</v>
      </c>
      <c r="J47" s="184">
        <v>0</v>
      </c>
      <c r="K47" s="184">
        <v>0</v>
      </c>
      <c r="L47" s="184">
        <v>0</v>
      </c>
      <c r="M47" s="654" t="s">
        <v>24</v>
      </c>
      <c r="N47" s="669" t="s">
        <v>51</v>
      </c>
      <c r="O47" s="642">
        <v>0</v>
      </c>
      <c r="P47" s="184">
        <v>0</v>
      </c>
      <c r="Q47" s="184">
        <v>0</v>
      </c>
      <c r="R47" s="184">
        <v>0</v>
      </c>
      <c r="S47" s="184">
        <v>0</v>
      </c>
      <c r="T47" s="184">
        <v>0</v>
      </c>
      <c r="U47" s="184">
        <v>0</v>
      </c>
      <c r="V47" s="184">
        <v>1</v>
      </c>
      <c r="W47" s="184">
        <v>0</v>
      </c>
      <c r="X47" s="184">
        <v>1</v>
      </c>
      <c r="Y47" s="184">
        <v>0</v>
      </c>
      <c r="Z47" s="184">
        <v>0</v>
      </c>
      <c r="AA47" s="184">
        <v>0</v>
      </c>
      <c r="AB47" s="184">
        <v>0</v>
      </c>
      <c r="AC47" s="185">
        <v>47.7</v>
      </c>
      <c r="AD47" s="185" t="s">
        <v>24</v>
      </c>
      <c r="AE47" s="184">
        <v>0</v>
      </c>
      <c r="AF47" s="185">
        <v>0</v>
      </c>
      <c r="AG47" s="184">
        <v>0</v>
      </c>
      <c r="AH47" s="185">
        <v>0</v>
      </c>
      <c r="AI47" s="184">
        <v>0</v>
      </c>
      <c r="AJ47" s="643">
        <v>0</v>
      </c>
      <c r="AP47" s="401">
        <f t="shared" si="40"/>
        <v>10</v>
      </c>
      <c r="AR47" s="56">
        <f t="shared" si="41"/>
        <v>0.37500000000000011</v>
      </c>
      <c r="AS47" s="79">
        <f>SUM(C51,C158,C265,C372,C479,C586,C693)/config!$AC$13</f>
        <v>0</v>
      </c>
      <c r="AT47" s="80">
        <f>SUM(D51:E51,D158:E158,D265:E265,D372:E372,D479:E479,D586:E586,D693:E693)/config!$AC$13</f>
        <v>7.2857142857142856</v>
      </c>
      <c r="AU47" s="80">
        <f>SUM(F51:G51,F158:G158,F265:G265,F372:G372,F479:G479,F586:G586,F693:G693)/config!$AC$13</f>
        <v>1.4285714285714286</v>
      </c>
      <c r="AV47" s="80">
        <f>SUM(H51,H158,H265,H372,H479,H586,H693)/config!$AC$13</f>
        <v>0</v>
      </c>
      <c r="AW47" s="81">
        <f>SUM(I51:L51,I158:L158,I265:L265,I372:L372,I479:L479,I586:L586,I693:L693)/config!$AC$13</f>
        <v>0</v>
      </c>
      <c r="AY47" s="56">
        <f t="shared" si="42"/>
        <v>0.37500000000000011</v>
      </c>
      <c r="AZ47" s="82">
        <f t="shared" si="55"/>
        <v>9</v>
      </c>
      <c r="BA47" s="83">
        <f t="shared" si="56"/>
        <v>5</v>
      </c>
      <c r="BB47" s="83">
        <f t="shared" si="57"/>
        <v>11</v>
      </c>
      <c r="BC47" s="83">
        <f t="shared" si="58"/>
        <v>15</v>
      </c>
      <c r="BD47" s="83">
        <f t="shared" si="59"/>
        <v>7</v>
      </c>
      <c r="BE47" s="83">
        <f t="shared" si="60"/>
        <v>3</v>
      </c>
      <c r="BF47" s="84">
        <f t="shared" si="61"/>
        <v>11</v>
      </c>
      <c r="BG47" s="45"/>
      <c r="BH47" s="56">
        <f t="shared" si="62"/>
        <v>0.37500000000000011</v>
      </c>
      <c r="BI47" s="79">
        <f t="shared" si="63"/>
        <v>33.799999999999997</v>
      </c>
      <c r="BJ47" s="80">
        <f t="shared" si="64"/>
        <v>32</v>
      </c>
      <c r="BK47" s="80">
        <f t="shared" si="65"/>
        <v>36.6</v>
      </c>
      <c r="BL47" s="80">
        <f t="shared" si="66"/>
        <v>31.2</v>
      </c>
      <c r="BM47" s="80">
        <f t="shared" si="67"/>
        <v>28.4</v>
      </c>
      <c r="BN47" s="80">
        <f t="shared" si="68"/>
        <v>41</v>
      </c>
      <c r="BO47" s="81">
        <f t="shared" si="69"/>
        <v>33.299999999999997</v>
      </c>
      <c r="BP47" s="63"/>
      <c r="BQ47" s="64">
        <f t="shared" si="70"/>
        <v>0.37500000000000011</v>
      </c>
      <c r="BR47" s="79" t="str">
        <f t="shared" si="71"/>
        <v/>
      </c>
      <c r="BS47" s="80" t="str">
        <f t="shared" si="72"/>
        <v/>
      </c>
      <c r="BT47" s="80">
        <f t="shared" si="73"/>
        <v>48</v>
      </c>
      <c r="BU47" s="80">
        <f t="shared" si="74"/>
        <v>38.4</v>
      </c>
      <c r="BV47" s="80" t="str">
        <f t="shared" si="75"/>
        <v/>
      </c>
      <c r="BW47" s="80" t="str">
        <f t="shared" si="76"/>
        <v/>
      </c>
      <c r="BX47" s="81">
        <f t="shared" si="77"/>
        <v>42.5</v>
      </c>
      <c r="BY47" s="65"/>
      <c r="BZ47" s="66">
        <f t="shared" si="43"/>
        <v>33.75714285714286</v>
      </c>
      <c r="CA47" s="414">
        <f t="shared" si="31"/>
        <v>42.966666666666669</v>
      </c>
      <c r="CB47" s="416">
        <f t="shared" si="48"/>
        <v>60</v>
      </c>
      <c r="CC47" s="65"/>
      <c r="CD47" s="79">
        <f t="shared" si="78"/>
        <v>0</v>
      </c>
      <c r="CE47" s="80">
        <f t="shared" si="79"/>
        <v>0</v>
      </c>
      <c r="CF47" s="80">
        <f t="shared" si="80"/>
        <v>0</v>
      </c>
      <c r="CG47" s="80">
        <f t="shared" si="81"/>
        <v>0</v>
      </c>
      <c r="CH47" s="80">
        <f t="shared" si="82"/>
        <v>0</v>
      </c>
      <c r="CI47" s="80">
        <f t="shared" si="83"/>
        <v>0</v>
      </c>
      <c r="CJ47" s="81">
        <f t="shared" si="84"/>
        <v>0</v>
      </c>
      <c r="CM47" s="79">
        <f t="shared" si="44"/>
        <v>304.2</v>
      </c>
      <c r="CN47" s="80">
        <f t="shared" si="49"/>
        <v>160</v>
      </c>
      <c r="CO47" s="80">
        <f t="shared" si="50"/>
        <v>402.6</v>
      </c>
      <c r="CP47" s="80">
        <f t="shared" si="51"/>
        <v>468</v>
      </c>
      <c r="CQ47" s="80">
        <f t="shared" si="52"/>
        <v>198.79999999999998</v>
      </c>
      <c r="CR47" s="80">
        <f t="shared" si="53"/>
        <v>123</v>
      </c>
      <c r="CS47" s="81">
        <f t="shared" si="54"/>
        <v>366.29999999999995</v>
      </c>
      <c r="CU47" s="511">
        <f>SUM(SUMIF($AZ$8:$BF$8, {"NON";"NEUT"}, AZ47:BF47))/config!$AC$16</f>
        <v>10.199999999999999</v>
      </c>
      <c r="CV47" s="512">
        <f t="shared" si="45"/>
        <v>0.37500000000000011</v>
      </c>
      <c r="CY47" s="79">
        <f>SUM(C51*$CY$108, C158*$CY$109, C265*$CY$110, C372*$CY$111, C479*$CY$112, C586*$CY$113, C693*$CY$114)/config!$AC$16</f>
        <v>0</v>
      </c>
      <c r="CZ47" s="80">
        <f>SUM(SUM(D51:E51)*$CY$108, SUM(D158:E158)*$CY$109, SUM(D265:E265)*$CY$110, SUM(D372:E372)*$CY$111, SUM(D479:E479)*$CY$112, SUM(D586:E586)*$CY$113, SUM(D693:E693)*$CY$114)/config!$AC$16</f>
        <v>8.6</v>
      </c>
      <c r="DA47" s="80">
        <f>SUM(SUM(F51:G51)*$CY$108, SUM(F158:G158)*$CY$109, SUM(F265:G265)*$CY$110, SUM(F372:G372)*$CY$111, SUM(F479:G479)*$CY$112, SUM(F586:G586)*$CY$113, SUM(F693:G693)*$CY$114)/config!$AC$16</f>
        <v>1.6</v>
      </c>
      <c r="DB47" s="80">
        <f>SUM(H51*$CY$108, H158*$CY$109, H265*$CY$110, H372*$CY$111, H479*$CY$112, H586*$CY$113, H693*$CY$114)/config!$AC$16</f>
        <v>0</v>
      </c>
      <c r="DC47" s="81">
        <f>SUM(SUM(I51:L51)*$CY$108, SUM(I158:L158)*$CY$109, SUM(I265:L265)*$CY$110, SUM(I372:L372)*$CY$111, SUM(I479:L479)*$CY$112, SUM(I586:L586)*$CY$113, SUM(I693:L693)*$CY$114)/config!$AC$16</f>
        <v>0</v>
      </c>
    </row>
    <row r="48" spans="1:107" ht="15" x14ac:dyDescent="0.25">
      <c r="A48" s="190" t="s">
        <v>85</v>
      </c>
      <c r="B48" s="642">
        <v>9</v>
      </c>
      <c r="C48" s="184">
        <v>0</v>
      </c>
      <c r="D48" s="184">
        <v>7</v>
      </c>
      <c r="E48" s="184">
        <v>1</v>
      </c>
      <c r="F48" s="184">
        <v>1</v>
      </c>
      <c r="G48" s="184">
        <v>0</v>
      </c>
      <c r="H48" s="184">
        <v>0</v>
      </c>
      <c r="I48" s="184">
        <v>0</v>
      </c>
      <c r="J48" s="184">
        <v>0</v>
      </c>
      <c r="K48" s="184">
        <v>0</v>
      </c>
      <c r="L48" s="184">
        <v>0</v>
      </c>
      <c r="M48" s="654" t="s">
        <v>24</v>
      </c>
      <c r="N48" s="669" t="s">
        <v>85</v>
      </c>
      <c r="O48" s="642">
        <v>0</v>
      </c>
      <c r="P48" s="184">
        <v>0</v>
      </c>
      <c r="Q48" s="184">
        <v>0</v>
      </c>
      <c r="R48" s="184">
        <v>0</v>
      </c>
      <c r="S48" s="184">
        <v>0</v>
      </c>
      <c r="T48" s="184">
        <v>1</v>
      </c>
      <c r="U48" s="184">
        <v>3</v>
      </c>
      <c r="V48" s="184">
        <v>1</v>
      </c>
      <c r="W48" s="184">
        <v>2</v>
      </c>
      <c r="X48" s="184">
        <v>2</v>
      </c>
      <c r="Y48" s="184">
        <v>0</v>
      </c>
      <c r="Z48" s="184">
        <v>0</v>
      </c>
      <c r="AA48" s="184">
        <v>0</v>
      </c>
      <c r="AB48" s="184">
        <v>0</v>
      </c>
      <c r="AC48" s="185">
        <v>43.5</v>
      </c>
      <c r="AD48" s="185" t="s">
        <v>24</v>
      </c>
      <c r="AE48" s="184">
        <v>0</v>
      </c>
      <c r="AF48" s="185">
        <v>0</v>
      </c>
      <c r="AG48" s="184">
        <v>0</v>
      </c>
      <c r="AH48" s="185">
        <v>0</v>
      </c>
      <c r="AI48" s="184">
        <v>0</v>
      </c>
      <c r="AJ48" s="643">
        <v>0</v>
      </c>
      <c r="AP48" s="401">
        <f t="shared" si="40"/>
        <v>3</v>
      </c>
      <c r="AR48" s="56">
        <f t="shared" si="41"/>
        <v>0.3854166666666668</v>
      </c>
      <c r="AS48" s="67">
        <f>SUM(C52,C159,C266,C373,C480,C587,C694)/config!$AC$13</f>
        <v>0</v>
      </c>
      <c r="AT48" s="68">
        <f>SUM(D52:E52,D159:E159,D266:E266,D373:E373,D480:E480,D587:E587,D694:E694)/config!$AC$13</f>
        <v>6.2857142857142856</v>
      </c>
      <c r="AU48" s="68">
        <f>SUM(F52:G52,F159:G159,F266:G266,F373:G373,F480:G480,F587:G587,F694:G694)/config!$AC$13</f>
        <v>0.42857142857142855</v>
      </c>
      <c r="AV48" s="68">
        <f>SUM(H52,H159,H266,H373,H480,H587,H694)/config!$AC$13</f>
        <v>0</v>
      </c>
      <c r="AW48" s="69">
        <f>SUM(I52:L52,I159:L159,I266:L266,I373:L373,I480:L480,I587:L587,I694:L694)/config!$AC$13</f>
        <v>0</v>
      </c>
      <c r="AY48" s="56">
        <f t="shared" si="42"/>
        <v>0.3854166666666668</v>
      </c>
      <c r="AZ48" s="70">
        <f t="shared" si="55"/>
        <v>10</v>
      </c>
      <c r="BA48" s="71">
        <f t="shared" si="56"/>
        <v>10</v>
      </c>
      <c r="BB48" s="71">
        <f t="shared" si="57"/>
        <v>11</v>
      </c>
      <c r="BC48" s="71">
        <f t="shared" si="58"/>
        <v>6</v>
      </c>
      <c r="BD48" s="71">
        <f t="shared" si="59"/>
        <v>3</v>
      </c>
      <c r="BE48" s="71">
        <f t="shared" si="60"/>
        <v>5</v>
      </c>
      <c r="BF48" s="72">
        <f t="shared" si="61"/>
        <v>2</v>
      </c>
      <c r="BG48" s="45"/>
      <c r="BH48" s="56">
        <f t="shared" si="62"/>
        <v>0.3854166666666668</v>
      </c>
      <c r="BI48" s="67">
        <f t="shared" si="63"/>
        <v>36.4</v>
      </c>
      <c r="BJ48" s="68">
        <f t="shared" si="64"/>
        <v>31.6</v>
      </c>
      <c r="BK48" s="68">
        <f t="shared" si="65"/>
        <v>36.9</v>
      </c>
      <c r="BL48" s="68">
        <f t="shared" si="66"/>
        <v>39</v>
      </c>
      <c r="BM48" s="68">
        <f t="shared" si="67"/>
        <v>34.299999999999997</v>
      </c>
      <c r="BN48" s="68">
        <f t="shared" si="68"/>
        <v>40.1</v>
      </c>
      <c r="BO48" s="69">
        <f t="shared" si="69"/>
        <v>23.6</v>
      </c>
      <c r="BP48" s="63"/>
      <c r="BQ48" s="64">
        <f t="shared" si="70"/>
        <v>0.3854166666666668</v>
      </c>
      <c r="BR48" s="67" t="str">
        <f t="shared" si="71"/>
        <v/>
      </c>
      <c r="BS48" s="68" t="str">
        <f t="shared" si="72"/>
        <v/>
      </c>
      <c r="BT48" s="68">
        <f t="shared" si="73"/>
        <v>42.5</v>
      </c>
      <c r="BU48" s="68" t="str">
        <f t="shared" si="74"/>
        <v/>
      </c>
      <c r="BV48" s="68" t="str">
        <f t="shared" si="75"/>
        <v/>
      </c>
      <c r="BW48" s="68" t="str">
        <f t="shared" si="76"/>
        <v/>
      </c>
      <c r="BX48" s="69" t="str">
        <f t="shared" si="77"/>
        <v/>
      </c>
      <c r="BY48" s="65"/>
      <c r="BZ48" s="66">
        <f t="shared" si="43"/>
        <v>34.557142857142857</v>
      </c>
      <c r="CA48" s="414">
        <f t="shared" si="31"/>
        <v>42.5</v>
      </c>
      <c r="CB48" s="416">
        <f t="shared" si="48"/>
        <v>60</v>
      </c>
      <c r="CC48" s="65"/>
      <c r="CD48" s="67">
        <f t="shared" si="78"/>
        <v>0</v>
      </c>
      <c r="CE48" s="68">
        <f t="shared" si="79"/>
        <v>0</v>
      </c>
      <c r="CF48" s="68">
        <f t="shared" si="80"/>
        <v>0</v>
      </c>
      <c r="CG48" s="68">
        <f t="shared" si="81"/>
        <v>0</v>
      </c>
      <c r="CH48" s="68">
        <f t="shared" si="82"/>
        <v>0</v>
      </c>
      <c r="CI48" s="68">
        <f t="shared" si="83"/>
        <v>0</v>
      </c>
      <c r="CJ48" s="69">
        <f t="shared" si="84"/>
        <v>0</v>
      </c>
      <c r="CM48" s="67">
        <f t="shared" si="44"/>
        <v>364</v>
      </c>
      <c r="CN48" s="68">
        <f t="shared" si="49"/>
        <v>316</v>
      </c>
      <c r="CO48" s="68">
        <f t="shared" si="50"/>
        <v>405.9</v>
      </c>
      <c r="CP48" s="68">
        <f t="shared" si="51"/>
        <v>234</v>
      </c>
      <c r="CQ48" s="68">
        <f t="shared" si="52"/>
        <v>102.89999999999999</v>
      </c>
      <c r="CR48" s="68">
        <f t="shared" si="53"/>
        <v>200.5</v>
      </c>
      <c r="CS48" s="69">
        <f t="shared" si="54"/>
        <v>47.2</v>
      </c>
      <c r="CU48" s="511">
        <f>SUM(SUMIF($AZ$8:$BF$8, {"NON";"NEUT"}, AZ48:BF48))/config!$AC$16</f>
        <v>7.8</v>
      </c>
      <c r="CV48" s="512">
        <f t="shared" si="45"/>
        <v>0.3854166666666668</v>
      </c>
      <c r="CY48" s="67">
        <f>SUM(C52*$CY$108, C159*$CY$109, C266*$CY$110, C373*$CY$111, C480*$CY$112, C587*$CY$113, C694*$CY$114)/config!$AC$16</f>
        <v>0</v>
      </c>
      <c r="CZ48" s="68">
        <f>SUM(SUM(D52:E52)*$CY$108, SUM(D159:E159)*$CY$109, SUM(D266:E266)*$CY$110, SUM(D373:E373)*$CY$111, SUM(D480:E480)*$CY$112, SUM(D587:E587)*$CY$113, SUM(D694:E694)*$CY$114)/config!$AC$16</f>
        <v>7.2</v>
      </c>
      <c r="DA48" s="68">
        <f>SUM(SUM(F52:G52)*$CY$108, SUM(F159:G159)*$CY$109, SUM(F266:G266)*$CY$110, SUM(F373:G373)*$CY$111, SUM(F480:G480)*$CY$112, SUM(F587:G587)*$CY$113, SUM(F694:G694)*$CY$114)/config!$AC$16</f>
        <v>0.6</v>
      </c>
      <c r="DB48" s="68">
        <f>SUM(H52*$CY$108, H159*$CY$109, H266*$CY$110, H373*$CY$111, H480*$CY$112, H587*$CY$113, H694*$CY$114)/config!$AC$16</f>
        <v>0</v>
      </c>
      <c r="DC48" s="69">
        <f>SUM(SUM(I52:L52)*$CY$108, SUM(I159:L159)*$CY$109, SUM(I266:L266)*$CY$110, SUM(I373:L373)*$CY$111, SUM(I480:L480)*$CY$112, SUM(I587:L587)*$CY$113, SUM(I694:L694)*$CY$114)/config!$AC$16</f>
        <v>0</v>
      </c>
    </row>
    <row r="49" spans="1:107" ht="15" x14ac:dyDescent="0.25">
      <c r="A49" s="190" t="s">
        <v>86</v>
      </c>
      <c r="B49" s="642">
        <v>12</v>
      </c>
      <c r="C49" s="184">
        <v>0</v>
      </c>
      <c r="D49" s="184">
        <v>10</v>
      </c>
      <c r="E49" s="184">
        <v>0</v>
      </c>
      <c r="F49" s="184">
        <v>2</v>
      </c>
      <c r="G49" s="184">
        <v>0</v>
      </c>
      <c r="H49" s="184">
        <v>0</v>
      </c>
      <c r="I49" s="184">
        <v>0</v>
      </c>
      <c r="J49" s="184">
        <v>0</v>
      </c>
      <c r="K49" s="184">
        <v>0</v>
      </c>
      <c r="L49" s="184">
        <v>0</v>
      </c>
      <c r="M49" s="654" t="s">
        <v>24</v>
      </c>
      <c r="N49" s="669" t="s">
        <v>86</v>
      </c>
      <c r="O49" s="642">
        <v>0</v>
      </c>
      <c r="P49" s="184">
        <v>0</v>
      </c>
      <c r="Q49" s="184">
        <v>0</v>
      </c>
      <c r="R49" s="184">
        <v>0</v>
      </c>
      <c r="S49" s="184">
        <v>0</v>
      </c>
      <c r="T49" s="184">
        <v>2</v>
      </c>
      <c r="U49" s="184">
        <v>2</v>
      </c>
      <c r="V49" s="184">
        <v>5</v>
      </c>
      <c r="W49" s="184">
        <v>1</v>
      </c>
      <c r="X49" s="184">
        <v>2</v>
      </c>
      <c r="Y49" s="184">
        <v>0</v>
      </c>
      <c r="Z49" s="184">
        <v>0</v>
      </c>
      <c r="AA49" s="184">
        <v>0</v>
      </c>
      <c r="AB49" s="184">
        <v>0</v>
      </c>
      <c r="AC49" s="185">
        <v>41.9</v>
      </c>
      <c r="AD49" s="185">
        <v>50.6</v>
      </c>
      <c r="AE49" s="184">
        <v>0</v>
      </c>
      <c r="AF49" s="185">
        <v>0</v>
      </c>
      <c r="AG49" s="184">
        <v>0</v>
      </c>
      <c r="AH49" s="185">
        <v>0</v>
      </c>
      <c r="AI49" s="184">
        <v>0</v>
      </c>
      <c r="AJ49" s="643">
        <v>0</v>
      </c>
      <c r="AP49" s="401">
        <f t="shared" si="40"/>
        <v>6</v>
      </c>
      <c r="AR49" s="56">
        <f t="shared" si="41"/>
        <v>0.39583333333333348</v>
      </c>
      <c r="AS49" s="67">
        <f>SUM(C53,C160,C267,C374,C481,C588,C695)/config!$AC$13</f>
        <v>0.14285714285714285</v>
      </c>
      <c r="AT49" s="68">
        <f>SUM(D53:E53,D160:E160,D267:E267,D374:E374,D481:E481,D588:E588,D695:E695)/config!$AC$13</f>
        <v>7.1428571428571432</v>
      </c>
      <c r="AU49" s="68">
        <f>SUM(F53:G53,F160:G160,F267:G267,F374:G374,F481:G481,F588:G588,F695:G695)/config!$AC$13</f>
        <v>0.8571428571428571</v>
      </c>
      <c r="AV49" s="68">
        <f>SUM(H53,H160,H267,H374,H481,H588,H695)/config!$AC$13</f>
        <v>0</v>
      </c>
      <c r="AW49" s="69">
        <f>SUM(I53:L53,I160:L160,I267:L267,I374:L374,I481:L481,I588:L588,I695:L695)/config!$AC$13</f>
        <v>0.14285714285714285</v>
      </c>
      <c r="AY49" s="56">
        <f t="shared" si="42"/>
        <v>0.39583333333333348</v>
      </c>
      <c r="AZ49" s="70">
        <f t="shared" si="55"/>
        <v>6</v>
      </c>
      <c r="BA49" s="71">
        <f t="shared" si="56"/>
        <v>10</v>
      </c>
      <c r="BB49" s="71">
        <f t="shared" si="57"/>
        <v>4</v>
      </c>
      <c r="BC49" s="71">
        <f t="shared" si="58"/>
        <v>7</v>
      </c>
      <c r="BD49" s="71">
        <f t="shared" si="59"/>
        <v>11</v>
      </c>
      <c r="BE49" s="71">
        <f t="shared" si="60"/>
        <v>8</v>
      </c>
      <c r="BF49" s="72">
        <f t="shared" si="61"/>
        <v>12</v>
      </c>
      <c r="BG49" s="45"/>
      <c r="BH49" s="56">
        <f t="shared" si="62"/>
        <v>0.39583333333333348</v>
      </c>
      <c r="BI49" s="67">
        <f t="shared" si="63"/>
        <v>36</v>
      </c>
      <c r="BJ49" s="68">
        <f t="shared" si="64"/>
        <v>29.4</v>
      </c>
      <c r="BK49" s="68">
        <f t="shared" si="65"/>
        <v>29.3</v>
      </c>
      <c r="BL49" s="68">
        <f t="shared" si="66"/>
        <v>32.6</v>
      </c>
      <c r="BM49" s="68">
        <f t="shared" si="67"/>
        <v>36.4</v>
      </c>
      <c r="BN49" s="68">
        <f t="shared" si="68"/>
        <v>38.9</v>
      </c>
      <c r="BO49" s="69">
        <f t="shared" si="69"/>
        <v>34.4</v>
      </c>
      <c r="BP49" s="63"/>
      <c r="BQ49" s="64">
        <f t="shared" si="70"/>
        <v>0.39583333333333348</v>
      </c>
      <c r="BR49" s="67" t="str">
        <f t="shared" si="71"/>
        <v/>
      </c>
      <c r="BS49" s="68" t="str">
        <f t="shared" si="72"/>
        <v/>
      </c>
      <c r="BT49" s="68" t="str">
        <f t="shared" si="73"/>
        <v/>
      </c>
      <c r="BU49" s="68" t="str">
        <f t="shared" si="74"/>
        <v/>
      </c>
      <c r="BV49" s="68">
        <f t="shared" si="75"/>
        <v>44.8</v>
      </c>
      <c r="BW49" s="68" t="str">
        <f t="shared" si="76"/>
        <v/>
      </c>
      <c r="BX49" s="69">
        <f t="shared" si="77"/>
        <v>44.4</v>
      </c>
      <c r="BY49" s="65"/>
      <c r="BZ49" s="66">
        <f t="shared" si="43"/>
        <v>33.857142857142861</v>
      </c>
      <c r="CA49" s="414">
        <f t="shared" si="31"/>
        <v>44.599999999999994</v>
      </c>
      <c r="CB49" s="416">
        <f t="shared" si="48"/>
        <v>60</v>
      </c>
      <c r="CC49" s="65"/>
      <c r="CD49" s="67">
        <f t="shared" si="78"/>
        <v>0</v>
      </c>
      <c r="CE49" s="68">
        <f t="shared" si="79"/>
        <v>0</v>
      </c>
      <c r="CF49" s="68">
        <f t="shared" si="80"/>
        <v>0</v>
      </c>
      <c r="CG49" s="68">
        <f t="shared" si="81"/>
        <v>0</v>
      </c>
      <c r="CH49" s="68">
        <f t="shared" si="82"/>
        <v>0</v>
      </c>
      <c r="CI49" s="68">
        <f t="shared" si="83"/>
        <v>0</v>
      </c>
      <c r="CJ49" s="69">
        <f t="shared" si="84"/>
        <v>0</v>
      </c>
      <c r="CM49" s="67">
        <f t="shared" si="44"/>
        <v>216</v>
      </c>
      <c r="CN49" s="68">
        <f t="shared" si="49"/>
        <v>294</v>
      </c>
      <c r="CO49" s="68">
        <f t="shared" si="50"/>
        <v>117.2</v>
      </c>
      <c r="CP49" s="68">
        <f t="shared" si="51"/>
        <v>228.20000000000002</v>
      </c>
      <c r="CQ49" s="68">
        <f t="shared" si="52"/>
        <v>400.4</v>
      </c>
      <c r="CR49" s="68">
        <f t="shared" si="53"/>
        <v>311.2</v>
      </c>
      <c r="CS49" s="69">
        <f t="shared" si="54"/>
        <v>412.79999999999995</v>
      </c>
      <c r="CU49" s="511">
        <f>SUM(SUMIF($AZ$8:$BF$8, {"NON";"NEUT"}, AZ49:BF49))/config!$AC$16</f>
        <v>7.8</v>
      </c>
      <c r="CV49" s="512">
        <f t="shared" si="45"/>
        <v>0.39583333333333348</v>
      </c>
      <c r="CY49" s="67">
        <f>SUM(C53*$CY$108, C160*$CY$109, C267*$CY$110, C374*$CY$111, C481*$CY$112, C588*$CY$113, C695*$CY$114)/config!$AC$16</f>
        <v>0.2</v>
      </c>
      <c r="CZ49" s="68">
        <f>SUM(SUM(D53:E53)*$CY$108, SUM(D160:E160)*$CY$109, SUM(D267:E267)*$CY$110, SUM(D374:E374)*$CY$111, SUM(D481:E481)*$CY$112, SUM(D588:E588)*$CY$113, SUM(D695:E695)*$CY$114)/config!$AC$16</f>
        <v>6.4</v>
      </c>
      <c r="DA49" s="68">
        <f>SUM(SUM(F53:G53)*$CY$108, SUM(F160:G160)*$CY$109, SUM(F267:G267)*$CY$110, SUM(F374:G374)*$CY$111, SUM(F481:G481)*$CY$112, SUM(F588:G588)*$CY$113, SUM(F695:G695)*$CY$114)/config!$AC$16</f>
        <v>1</v>
      </c>
      <c r="DB49" s="68">
        <f>SUM(H53*$CY$108, H160*$CY$109, H267*$CY$110, H374*$CY$111, H481*$CY$112, H588*$CY$113, H695*$CY$114)/config!$AC$16</f>
        <v>0</v>
      </c>
      <c r="DC49" s="69">
        <f>SUM(SUM(I53:L53)*$CY$108, SUM(I160:L160)*$CY$109, SUM(I267:L267)*$CY$110, SUM(I374:L374)*$CY$111, SUM(I481:L481)*$CY$112, SUM(I588:L588)*$CY$113, SUM(I695:L695)*$CY$114)/config!$AC$16</f>
        <v>0.2</v>
      </c>
    </row>
    <row r="50" spans="1:107" ht="15" x14ac:dyDescent="0.25">
      <c r="A50" s="190" t="s">
        <v>87</v>
      </c>
      <c r="B50" s="642">
        <v>14</v>
      </c>
      <c r="C50" s="184">
        <v>0</v>
      </c>
      <c r="D50" s="184">
        <v>12</v>
      </c>
      <c r="E50" s="184">
        <v>0</v>
      </c>
      <c r="F50" s="184">
        <v>1</v>
      </c>
      <c r="G50" s="184">
        <v>0</v>
      </c>
      <c r="H50" s="184">
        <v>1</v>
      </c>
      <c r="I50" s="184">
        <v>0</v>
      </c>
      <c r="J50" s="184">
        <v>0</v>
      </c>
      <c r="K50" s="184">
        <v>0</v>
      </c>
      <c r="L50" s="184">
        <v>0</v>
      </c>
      <c r="M50" s="654" t="s">
        <v>24</v>
      </c>
      <c r="N50" s="669" t="s">
        <v>87</v>
      </c>
      <c r="O50" s="642">
        <v>0</v>
      </c>
      <c r="P50" s="184">
        <v>0</v>
      </c>
      <c r="Q50" s="184">
        <v>0</v>
      </c>
      <c r="R50" s="184">
        <v>1</v>
      </c>
      <c r="S50" s="184">
        <v>1</v>
      </c>
      <c r="T50" s="184">
        <v>6</v>
      </c>
      <c r="U50" s="184">
        <v>4</v>
      </c>
      <c r="V50" s="184">
        <v>2</v>
      </c>
      <c r="W50" s="184">
        <v>0</v>
      </c>
      <c r="X50" s="184">
        <v>0</v>
      </c>
      <c r="Y50" s="184">
        <v>0</v>
      </c>
      <c r="Z50" s="184">
        <v>0</v>
      </c>
      <c r="AA50" s="184">
        <v>0</v>
      </c>
      <c r="AB50" s="184">
        <v>0</v>
      </c>
      <c r="AC50" s="185">
        <v>33.700000000000003</v>
      </c>
      <c r="AD50" s="185">
        <v>39.9</v>
      </c>
      <c r="AE50" s="184">
        <v>0</v>
      </c>
      <c r="AF50" s="185">
        <v>0</v>
      </c>
      <c r="AG50" s="184">
        <v>0</v>
      </c>
      <c r="AH50" s="185">
        <v>0</v>
      </c>
      <c r="AI50" s="184">
        <v>0</v>
      </c>
      <c r="AJ50" s="643">
        <v>0</v>
      </c>
      <c r="AP50" s="401">
        <f t="shared" si="40"/>
        <v>6</v>
      </c>
      <c r="AR50" s="56">
        <f t="shared" si="41"/>
        <v>0.40625000000000017</v>
      </c>
      <c r="AS50" s="67">
        <f>SUM(C54,C161,C268,C375,C482,C589,C696)/config!$AC$13</f>
        <v>0.14285714285714285</v>
      </c>
      <c r="AT50" s="68">
        <f>SUM(D54:E54,D161:E161,D268:E268,D375:E375,D482:E482,D589:E589,D696:E696)/config!$AC$13</f>
        <v>8.1428571428571423</v>
      </c>
      <c r="AU50" s="68">
        <f>SUM(F54:G54,F161:G161,F268:G268,F375:G375,F482:G482,F589:G589,F696:G696)/config!$AC$13</f>
        <v>0.8571428571428571</v>
      </c>
      <c r="AV50" s="68">
        <f>SUM(H54,H161,H268,H375,H482,H589,H696)/config!$AC$13</f>
        <v>0</v>
      </c>
      <c r="AW50" s="69">
        <f>SUM(I54:L54,I161:L161,I268:L268,I375:L375,I482:L482,I589:L589,I696:L696)/config!$AC$13</f>
        <v>0.2857142857142857</v>
      </c>
      <c r="AY50" s="56">
        <f t="shared" si="42"/>
        <v>0.40625000000000017</v>
      </c>
      <c r="AZ50" s="70">
        <f t="shared" si="55"/>
        <v>14</v>
      </c>
      <c r="BA50" s="71">
        <f t="shared" si="56"/>
        <v>9</v>
      </c>
      <c r="BB50" s="71">
        <f t="shared" si="57"/>
        <v>17</v>
      </c>
      <c r="BC50" s="71">
        <f t="shared" si="58"/>
        <v>10</v>
      </c>
      <c r="BD50" s="71">
        <f t="shared" si="59"/>
        <v>7</v>
      </c>
      <c r="BE50" s="71">
        <f t="shared" si="60"/>
        <v>7</v>
      </c>
      <c r="BF50" s="72">
        <f t="shared" si="61"/>
        <v>2</v>
      </c>
      <c r="BG50" s="45"/>
      <c r="BH50" s="56">
        <f t="shared" si="62"/>
        <v>0.40625000000000017</v>
      </c>
      <c r="BI50" s="67">
        <f t="shared" si="63"/>
        <v>36.5</v>
      </c>
      <c r="BJ50" s="68">
        <f t="shared" si="64"/>
        <v>33.9</v>
      </c>
      <c r="BK50" s="68">
        <f t="shared" si="65"/>
        <v>35.700000000000003</v>
      </c>
      <c r="BL50" s="68">
        <f t="shared" si="66"/>
        <v>35.299999999999997</v>
      </c>
      <c r="BM50" s="68">
        <f t="shared" si="67"/>
        <v>37.1</v>
      </c>
      <c r="BN50" s="68">
        <f t="shared" si="68"/>
        <v>36.299999999999997</v>
      </c>
      <c r="BO50" s="69">
        <f t="shared" si="69"/>
        <v>27.8</v>
      </c>
      <c r="BP50" s="63"/>
      <c r="BQ50" s="64">
        <f t="shared" si="70"/>
        <v>0.40625000000000017</v>
      </c>
      <c r="BR50" s="67">
        <f t="shared" si="71"/>
        <v>45</v>
      </c>
      <c r="BS50" s="68" t="str">
        <f t="shared" si="72"/>
        <v/>
      </c>
      <c r="BT50" s="68">
        <f t="shared" si="73"/>
        <v>45.7</v>
      </c>
      <c r="BU50" s="68" t="str">
        <f t="shared" si="74"/>
        <v/>
      </c>
      <c r="BV50" s="68" t="str">
        <f t="shared" si="75"/>
        <v/>
      </c>
      <c r="BW50" s="68" t="str">
        <f t="shared" si="76"/>
        <v/>
      </c>
      <c r="BX50" s="69" t="str">
        <f t="shared" si="77"/>
        <v/>
      </c>
      <c r="BY50" s="65"/>
      <c r="BZ50" s="66">
        <f t="shared" si="43"/>
        <v>34.657142857142858</v>
      </c>
      <c r="CA50" s="414">
        <f t="shared" si="31"/>
        <v>45.35</v>
      </c>
      <c r="CB50" s="416">
        <f t="shared" si="48"/>
        <v>60</v>
      </c>
      <c r="CC50" s="65"/>
      <c r="CD50" s="67">
        <f t="shared" si="78"/>
        <v>0</v>
      </c>
      <c r="CE50" s="68">
        <f t="shared" si="79"/>
        <v>0</v>
      </c>
      <c r="CF50" s="68">
        <f t="shared" si="80"/>
        <v>0</v>
      </c>
      <c r="CG50" s="68">
        <f t="shared" si="81"/>
        <v>0</v>
      </c>
      <c r="CH50" s="68">
        <f t="shared" si="82"/>
        <v>0</v>
      </c>
      <c r="CI50" s="68">
        <f t="shared" si="83"/>
        <v>0</v>
      </c>
      <c r="CJ50" s="69">
        <f t="shared" si="84"/>
        <v>0</v>
      </c>
      <c r="CM50" s="67">
        <f t="shared" si="44"/>
        <v>511</v>
      </c>
      <c r="CN50" s="68">
        <f t="shared" si="49"/>
        <v>305.09999999999997</v>
      </c>
      <c r="CO50" s="68">
        <f t="shared" si="50"/>
        <v>606.90000000000009</v>
      </c>
      <c r="CP50" s="68">
        <f t="shared" si="51"/>
        <v>353</v>
      </c>
      <c r="CQ50" s="68">
        <f t="shared" si="52"/>
        <v>259.7</v>
      </c>
      <c r="CR50" s="68">
        <f t="shared" si="53"/>
        <v>254.09999999999997</v>
      </c>
      <c r="CS50" s="69">
        <f t="shared" si="54"/>
        <v>55.6</v>
      </c>
      <c r="CU50" s="511">
        <f>SUM(SUMIF($AZ$8:$BF$8, {"NON";"NEUT"}, AZ50:BF50))/config!$AC$16</f>
        <v>10.4</v>
      </c>
      <c r="CV50" s="512">
        <f t="shared" si="45"/>
        <v>0.40625000000000017</v>
      </c>
      <c r="CY50" s="67">
        <f>SUM(C54*$CY$108, C161*$CY$109, C268*$CY$110, C375*$CY$111, C482*$CY$112, C589*$CY$113, C696*$CY$114)/config!$AC$16</f>
        <v>0</v>
      </c>
      <c r="CZ50" s="68">
        <f>SUM(SUM(D54:E54)*$CY$108, SUM(D161:E161)*$CY$109, SUM(D268:E268)*$CY$110, SUM(D375:E375)*$CY$111, SUM(D482:E482)*$CY$112, SUM(D589:E589)*$CY$113, SUM(D696:E696)*$CY$114)/config!$AC$16</f>
        <v>9</v>
      </c>
      <c r="DA50" s="68">
        <f>SUM(SUM(F54:G54)*$CY$108, SUM(F161:G161)*$CY$109, SUM(F268:G268)*$CY$110, SUM(F375:G375)*$CY$111, SUM(F482:G482)*$CY$112, SUM(F589:G589)*$CY$113, SUM(F696:G696)*$CY$114)/config!$AC$16</f>
        <v>1.2</v>
      </c>
      <c r="DB50" s="68">
        <f>SUM(H54*$CY$108, H161*$CY$109, H268*$CY$110, H375*$CY$111, H482*$CY$112, H589*$CY$113, H696*$CY$114)/config!$AC$16</f>
        <v>0</v>
      </c>
      <c r="DC50" s="69">
        <f>SUM(SUM(I54:L54)*$CY$108, SUM(I161:L161)*$CY$109, SUM(I268:L268)*$CY$110, SUM(I375:L375)*$CY$111, SUM(I482:L482)*$CY$112, SUM(I589:L589)*$CY$113, SUM(I696:L696)*$CY$114)/config!$AC$16</f>
        <v>0.2</v>
      </c>
    </row>
    <row r="51" spans="1:107" ht="15" x14ac:dyDescent="0.25">
      <c r="A51" s="190" t="s">
        <v>53</v>
      </c>
      <c r="B51" s="646">
        <v>9</v>
      </c>
      <c r="C51" s="186">
        <v>0</v>
      </c>
      <c r="D51" s="186">
        <v>7</v>
      </c>
      <c r="E51" s="186">
        <v>0</v>
      </c>
      <c r="F51" s="186">
        <v>2</v>
      </c>
      <c r="G51" s="186">
        <v>0</v>
      </c>
      <c r="H51" s="186">
        <v>0</v>
      </c>
      <c r="I51" s="186">
        <v>0</v>
      </c>
      <c r="J51" s="186">
        <v>0</v>
      </c>
      <c r="K51" s="186">
        <v>0</v>
      </c>
      <c r="L51" s="186">
        <v>0</v>
      </c>
      <c r="M51" s="656" t="s">
        <v>24</v>
      </c>
      <c r="N51" s="669" t="s">
        <v>53</v>
      </c>
      <c r="O51" s="646">
        <v>0</v>
      </c>
      <c r="P51" s="186">
        <v>0</v>
      </c>
      <c r="Q51" s="186">
        <v>0</v>
      </c>
      <c r="R51" s="186">
        <v>0</v>
      </c>
      <c r="S51" s="186">
        <v>4</v>
      </c>
      <c r="T51" s="186">
        <v>0</v>
      </c>
      <c r="U51" s="186">
        <v>3</v>
      </c>
      <c r="V51" s="186">
        <v>2</v>
      </c>
      <c r="W51" s="186">
        <v>0</v>
      </c>
      <c r="X51" s="186">
        <v>0</v>
      </c>
      <c r="Y51" s="186">
        <v>0</v>
      </c>
      <c r="Z51" s="186">
        <v>0</v>
      </c>
      <c r="AA51" s="186">
        <v>0</v>
      </c>
      <c r="AB51" s="186">
        <v>0</v>
      </c>
      <c r="AC51" s="187">
        <v>33.799999999999997</v>
      </c>
      <c r="AD51" s="187" t="s">
        <v>24</v>
      </c>
      <c r="AE51" s="186">
        <v>0</v>
      </c>
      <c r="AF51" s="187">
        <v>0</v>
      </c>
      <c r="AG51" s="186">
        <v>0</v>
      </c>
      <c r="AH51" s="187">
        <v>0</v>
      </c>
      <c r="AI51" s="186">
        <v>0</v>
      </c>
      <c r="AJ51" s="647">
        <v>0</v>
      </c>
      <c r="AP51" s="401">
        <f t="shared" si="40"/>
        <v>7</v>
      </c>
      <c r="AR51" s="56">
        <f t="shared" si="41"/>
        <v>0.41666666666666685</v>
      </c>
      <c r="AS51" s="67">
        <f>SUM(C55,C162,C269,C376,C483,C590,C697)/config!$AC$13</f>
        <v>0</v>
      </c>
      <c r="AT51" s="68">
        <f>SUM(D55:E55,D162:E162,D269:E269,D376:E376,D483:E483,D590:E590,D697:E697)/config!$AC$13</f>
        <v>7.7142857142857144</v>
      </c>
      <c r="AU51" s="68">
        <f>SUM(F55:G55,F162:G162,F269:G269,F376:G376,F483:G483,F590:G590,F697:G697)/config!$AC$13</f>
        <v>1.1428571428571428</v>
      </c>
      <c r="AV51" s="68">
        <f>SUM(H55,H162,H269,H376,H483,H590,H697)/config!$AC$13</f>
        <v>0</v>
      </c>
      <c r="AW51" s="69">
        <f>SUM(I55:L55,I162:L162,I269:L269,I376:L376,I483:L483,I590:L590,I697:L697)/config!$AC$13</f>
        <v>0</v>
      </c>
      <c r="AY51" s="56">
        <f t="shared" si="42"/>
        <v>0.41666666666666685</v>
      </c>
      <c r="AZ51" s="70">
        <f t="shared" si="55"/>
        <v>11</v>
      </c>
      <c r="BA51" s="71">
        <f t="shared" si="56"/>
        <v>6</v>
      </c>
      <c r="BB51" s="71">
        <f t="shared" si="57"/>
        <v>8</v>
      </c>
      <c r="BC51" s="71">
        <f t="shared" si="58"/>
        <v>9</v>
      </c>
      <c r="BD51" s="71">
        <f t="shared" si="59"/>
        <v>15</v>
      </c>
      <c r="BE51" s="71">
        <f t="shared" si="60"/>
        <v>2</v>
      </c>
      <c r="BF51" s="72">
        <f t="shared" si="61"/>
        <v>11</v>
      </c>
      <c r="BG51" s="45"/>
      <c r="BH51" s="56">
        <f t="shared" si="62"/>
        <v>0.41666666666666685</v>
      </c>
      <c r="BI51" s="67">
        <f t="shared" si="63"/>
        <v>31.2</v>
      </c>
      <c r="BJ51" s="68">
        <f t="shared" si="64"/>
        <v>34.200000000000003</v>
      </c>
      <c r="BK51" s="68">
        <f t="shared" si="65"/>
        <v>38</v>
      </c>
      <c r="BL51" s="68">
        <f t="shared" si="66"/>
        <v>42.2</v>
      </c>
      <c r="BM51" s="68">
        <f t="shared" si="67"/>
        <v>34.700000000000003</v>
      </c>
      <c r="BN51" s="68">
        <f t="shared" si="68"/>
        <v>31.9</v>
      </c>
      <c r="BO51" s="69">
        <f t="shared" si="69"/>
        <v>37</v>
      </c>
      <c r="BP51" s="63"/>
      <c r="BQ51" s="64">
        <f t="shared" si="70"/>
        <v>0.41666666666666685</v>
      </c>
      <c r="BR51" s="67">
        <f t="shared" si="71"/>
        <v>40.6</v>
      </c>
      <c r="BS51" s="68" t="str">
        <f t="shared" si="72"/>
        <v/>
      </c>
      <c r="BT51" s="68" t="str">
        <f t="shared" si="73"/>
        <v/>
      </c>
      <c r="BU51" s="68" t="str">
        <f t="shared" si="74"/>
        <v/>
      </c>
      <c r="BV51" s="68">
        <f t="shared" si="75"/>
        <v>41.4</v>
      </c>
      <c r="BW51" s="68" t="str">
        <f t="shared" si="76"/>
        <v/>
      </c>
      <c r="BX51" s="69">
        <f t="shared" si="77"/>
        <v>47.6</v>
      </c>
      <c r="BY51" s="65"/>
      <c r="BZ51" s="66">
        <f t="shared" si="43"/>
        <v>35.6</v>
      </c>
      <c r="CA51" s="414">
        <f t="shared" si="31"/>
        <v>43.199999999999996</v>
      </c>
      <c r="CB51" s="416">
        <f t="shared" si="48"/>
        <v>60</v>
      </c>
      <c r="CC51" s="65"/>
      <c r="CD51" s="67">
        <f t="shared" si="78"/>
        <v>0</v>
      </c>
      <c r="CE51" s="68">
        <f t="shared" si="79"/>
        <v>0</v>
      </c>
      <c r="CF51" s="68">
        <f t="shared" si="80"/>
        <v>0</v>
      </c>
      <c r="CG51" s="68">
        <f t="shared" si="81"/>
        <v>0</v>
      </c>
      <c r="CH51" s="68">
        <f t="shared" si="82"/>
        <v>0</v>
      </c>
      <c r="CI51" s="68">
        <f t="shared" si="83"/>
        <v>0</v>
      </c>
      <c r="CJ51" s="69">
        <f t="shared" si="84"/>
        <v>0</v>
      </c>
      <c r="CM51" s="67">
        <f t="shared" si="44"/>
        <v>343.2</v>
      </c>
      <c r="CN51" s="68">
        <f t="shared" si="49"/>
        <v>205.20000000000002</v>
      </c>
      <c r="CO51" s="68">
        <f t="shared" si="50"/>
        <v>304</v>
      </c>
      <c r="CP51" s="68">
        <f t="shared" si="51"/>
        <v>379.8</v>
      </c>
      <c r="CQ51" s="68">
        <f t="shared" si="52"/>
        <v>520.5</v>
      </c>
      <c r="CR51" s="68">
        <f t="shared" si="53"/>
        <v>63.8</v>
      </c>
      <c r="CS51" s="69">
        <f t="shared" si="54"/>
        <v>407</v>
      </c>
      <c r="CU51" s="511">
        <f>SUM(SUMIF($AZ$8:$BF$8, {"NON";"NEUT"}, AZ51:BF51))/config!$AC$16</f>
        <v>9</v>
      </c>
      <c r="CV51" s="512">
        <f t="shared" si="45"/>
        <v>0.41666666666666685</v>
      </c>
      <c r="CY51" s="67">
        <f>SUM(C55*$CY$108, C162*$CY$109, C269*$CY$110, C376*$CY$111, C483*$CY$112, C590*$CY$113, C697*$CY$114)/config!$AC$16</f>
        <v>0</v>
      </c>
      <c r="CZ51" s="68">
        <f>SUM(SUM(D55:E55)*$CY$108, SUM(D162:E162)*$CY$109, SUM(D269:E269)*$CY$110, SUM(D376:E376)*$CY$111, SUM(D483:E483)*$CY$112, SUM(D590:E590)*$CY$113, SUM(D697:E697)*$CY$114)/config!$AC$16</f>
        <v>7.6</v>
      </c>
      <c r="DA51" s="68">
        <f>SUM(SUM(F55:G55)*$CY$108, SUM(F162:G162)*$CY$109, SUM(F269:G269)*$CY$110, SUM(F376:G376)*$CY$111, SUM(F483:G483)*$CY$112, SUM(F590:G590)*$CY$113, SUM(F697:G697)*$CY$114)/config!$AC$16</f>
        <v>1.4</v>
      </c>
      <c r="DB51" s="68">
        <f>SUM(H55*$CY$108, H162*$CY$109, H269*$CY$110, H376*$CY$111, H483*$CY$112, H590*$CY$113, H697*$CY$114)/config!$AC$16</f>
        <v>0</v>
      </c>
      <c r="DC51" s="69">
        <f>SUM(SUM(I55:L55)*$CY$108, SUM(I162:L162)*$CY$109, SUM(I269:L269)*$CY$110, SUM(I376:L376)*$CY$111, SUM(I483:L483)*$CY$112, SUM(I590:L590)*$CY$113, SUM(I697:L697)*$CY$114)/config!$AC$16</f>
        <v>0</v>
      </c>
    </row>
    <row r="52" spans="1:107" ht="15" x14ac:dyDescent="0.25">
      <c r="A52" s="190" t="s">
        <v>88</v>
      </c>
      <c r="B52" s="642">
        <v>10</v>
      </c>
      <c r="C52" s="184">
        <v>0</v>
      </c>
      <c r="D52" s="184">
        <v>8</v>
      </c>
      <c r="E52" s="184">
        <v>1</v>
      </c>
      <c r="F52" s="184">
        <v>1</v>
      </c>
      <c r="G52" s="184">
        <v>0</v>
      </c>
      <c r="H52" s="184">
        <v>0</v>
      </c>
      <c r="I52" s="184">
        <v>0</v>
      </c>
      <c r="J52" s="184">
        <v>0</v>
      </c>
      <c r="K52" s="184">
        <v>0</v>
      </c>
      <c r="L52" s="184">
        <v>0</v>
      </c>
      <c r="M52" s="654" t="s">
        <v>24</v>
      </c>
      <c r="N52" s="669" t="s">
        <v>88</v>
      </c>
      <c r="O52" s="642">
        <v>0</v>
      </c>
      <c r="P52" s="184">
        <v>0</v>
      </c>
      <c r="Q52" s="184">
        <v>0</v>
      </c>
      <c r="R52" s="184">
        <v>0</v>
      </c>
      <c r="S52" s="184">
        <v>2</v>
      </c>
      <c r="T52" s="184">
        <v>2</v>
      </c>
      <c r="U52" s="184">
        <v>2</v>
      </c>
      <c r="V52" s="184">
        <v>3</v>
      </c>
      <c r="W52" s="184">
        <v>1</v>
      </c>
      <c r="X52" s="184">
        <v>0</v>
      </c>
      <c r="Y52" s="184">
        <v>0</v>
      </c>
      <c r="Z52" s="184">
        <v>0</v>
      </c>
      <c r="AA52" s="184">
        <v>0</v>
      </c>
      <c r="AB52" s="184">
        <v>0</v>
      </c>
      <c r="AC52" s="185">
        <v>36.4</v>
      </c>
      <c r="AD52" s="185" t="s">
        <v>24</v>
      </c>
      <c r="AE52" s="184">
        <v>0</v>
      </c>
      <c r="AF52" s="185">
        <v>0</v>
      </c>
      <c r="AG52" s="184">
        <v>0</v>
      </c>
      <c r="AH52" s="185">
        <v>0</v>
      </c>
      <c r="AI52" s="184">
        <v>0</v>
      </c>
      <c r="AJ52" s="643">
        <v>0</v>
      </c>
      <c r="AP52" s="401">
        <f t="shared" si="40"/>
        <v>12</v>
      </c>
      <c r="AR52" s="56">
        <f t="shared" si="41"/>
        <v>0.42708333333333354</v>
      </c>
      <c r="AS52" s="67">
        <f>SUM(C56,C163,C270,C377,C484,C591,C698)/config!$AC$13</f>
        <v>0.2857142857142857</v>
      </c>
      <c r="AT52" s="68">
        <f>SUM(D56:E56,D163:E163,D270:E270,D377:E377,D484:E484,D591:E591,D698:E698)/config!$AC$13</f>
        <v>7.2857142857142856</v>
      </c>
      <c r="AU52" s="68">
        <f>SUM(F56:G56,F163:G163,F270:G270,F377:G377,F484:G484,F591:G591,F698:G698)/config!$AC$13</f>
        <v>1.8571428571428572</v>
      </c>
      <c r="AV52" s="68">
        <f>SUM(H56,H163,H270,H377,H484,H591,H698)/config!$AC$13</f>
        <v>0</v>
      </c>
      <c r="AW52" s="69">
        <f>SUM(I56:L56,I163:L163,I270:L270,I377:L377,I484:L484,I591:L591,I698:L698)/config!$AC$13</f>
        <v>0</v>
      </c>
      <c r="AY52" s="56">
        <f t="shared" si="42"/>
        <v>0.42708333333333354</v>
      </c>
      <c r="AZ52" s="70">
        <f t="shared" si="55"/>
        <v>9</v>
      </c>
      <c r="BA52" s="71">
        <f t="shared" si="56"/>
        <v>8</v>
      </c>
      <c r="BB52" s="71">
        <f t="shared" si="57"/>
        <v>10</v>
      </c>
      <c r="BC52" s="71">
        <f t="shared" si="58"/>
        <v>10</v>
      </c>
      <c r="BD52" s="71">
        <f t="shared" si="59"/>
        <v>9</v>
      </c>
      <c r="BE52" s="71">
        <f t="shared" si="60"/>
        <v>7</v>
      </c>
      <c r="BF52" s="72">
        <f t="shared" si="61"/>
        <v>13</v>
      </c>
      <c r="BG52" s="45"/>
      <c r="BH52" s="56">
        <f t="shared" si="62"/>
        <v>0.42708333333333354</v>
      </c>
      <c r="BI52" s="67">
        <f t="shared" si="63"/>
        <v>40.6</v>
      </c>
      <c r="BJ52" s="68">
        <f t="shared" si="64"/>
        <v>33</v>
      </c>
      <c r="BK52" s="68">
        <f t="shared" si="65"/>
        <v>33.200000000000003</v>
      </c>
      <c r="BL52" s="68">
        <f t="shared" si="66"/>
        <v>37.299999999999997</v>
      </c>
      <c r="BM52" s="68">
        <f t="shared" si="67"/>
        <v>40.4</v>
      </c>
      <c r="BN52" s="68">
        <f t="shared" si="68"/>
        <v>33.6</v>
      </c>
      <c r="BO52" s="69">
        <f t="shared" si="69"/>
        <v>31.9</v>
      </c>
      <c r="BP52" s="63"/>
      <c r="BQ52" s="64">
        <f t="shared" si="70"/>
        <v>0.42708333333333354</v>
      </c>
      <c r="BR52" s="67" t="str">
        <f t="shared" si="71"/>
        <v/>
      </c>
      <c r="BS52" s="68" t="str">
        <f t="shared" si="72"/>
        <v/>
      </c>
      <c r="BT52" s="68" t="str">
        <f t="shared" si="73"/>
        <v/>
      </c>
      <c r="BU52" s="68" t="str">
        <f t="shared" si="74"/>
        <v/>
      </c>
      <c r="BV52" s="68" t="str">
        <f t="shared" si="75"/>
        <v/>
      </c>
      <c r="BW52" s="68" t="str">
        <f t="shared" si="76"/>
        <v/>
      </c>
      <c r="BX52" s="69">
        <f t="shared" si="77"/>
        <v>41.5</v>
      </c>
      <c r="BY52" s="65"/>
      <c r="BZ52" s="66">
        <f t="shared" si="43"/>
        <v>35.714285714285715</v>
      </c>
      <c r="CA52" s="414">
        <f t="shared" si="31"/>
        <v>41.5</v>
      </c>
      <c r="CB52" s="416">
        <f t="shared" si="48"/>
        <v>60</v>
      </c>
      <c r="CC52" s="65"/>
      <c r="CD52" s="67">
        <f t="shared" si="78"/>
        <v>0</v>
      </c>
      <c r="CE52" s="68">
        <f t="shared" si="79"/>
        <v>0</v>
      </c>
      <c r="CF52" s="68">
        <f t="shared" si="80"/>
        <v>0</v>
      </c>
      <c r="CG52" s="68">
        <f t="shared" si="81"/>
        <v>0</v>
      </c>
      <c r="CH52" s="68">
        <f t="shared" si="82"/>
        <v>0</v>
      </c>
      <c r="CI52" s="68">
        <f t="shared" si="83"/>
        <v>0</v>
      </c>
      <c r="CJ52" s="69">
        <f t="shared" si="84"/>
        <v>0</v>
      </c>
      <c r="CM52" s="67">
        <f t="shared" si="44"/>
        <v>365.40000000000003</v>
      </c>
      <c r="CN52" s="68">
        <f t="shared" si="49"/>
        <v>264</v>
      </c>
      <c r="CO52" s="68">
        <f t="shared" si="50"/>
        <v>332</v>
      </c>
      <c r="CP52" s="68">
        <f t="shared" si="51"/>
        <v>373</v>
      </c>
      <c r="CQ52" s="68">
        <f t="shared" si="52"/>
        <v>363.59999999999997</v>
      </c>
      <c r="CR52" s="68">
        <f t="shared" si="53"/>
        <v>235.20000000000002</v>
      </c>
      <c r="CS52" s="69">
        <f t="shared" si="54"/>
        <v>414.7</v>
      </c>
      <c r="CU52" s="511">
        <f>SUM(SUMIF($AZ$8:$BF$8, {"NON";"NEUT"}, AZ52:BF52))/config!$AC$16</f>
        <v>10</v>
      </c>
      <c r="CV52" s="512">
        <f t="shared" si="45"/>
        <v>0.42708333333333354</v>
      </c>
      <c r="CY52" s="67">
        <f>SUM(C56*$CY$108, C163*$CY$109, C270*$CY$110, C377*$CY$111, C484*$CY$112, C591*$CY$113, C698*$CY$114)/config!$AC$16</f>
        <v>0.4</v>
      </c>
      <c r="CZ52" s="68">
        <f>SUM(SUM(D56:E56)*$CY$108, SUM(D163:E163)*$CY$109, SUM(D270:E270)*$CY$110, SUM(D377:E377)*$CY$111, SUM(D484:E484)*$CY$112, SUM(D591:E591)*$CY$113, SUM(D698:E698)*$CY$114)/config!$AC$16</f>
        <v>7.8</v>
      </c>
      <c r="DA52" s="68">
        <f>SUM(SUM(F56:G56)*$CY$108, SUM(F163:G163)*$CY$109, SUM(F270:G270)*$CY$110, SUM(F377:G377)*$CY$111, SUM(F484:G484)*$CY$112, SUM(F591:G591)*$CY$113, SUM(F698:G698)*$CY$114)/config!$AC$16</f>
        <v>1.8</v>
      </c>
      <c r="DB52" s="68">
        <f>SUM(H56*$CY$108, H163*$CY$109, H270*$CY$110, H377*$CY$111, H484*$CY$112, H591*$CY$113, H698*$CY$114)/config!$AC$16</f>
        <v>0</v>
      </c>
      <c r="DC52" s="69">
        <f>SUM(SUM(I56:L56)*$CY$108, SUM(I163:L163)*$CY$109, SUM(I270:L270)*$CY$110, SUM(I377:L377)*$CY$111, SUM(I484:L484)*$CY$112, SUM(I591:L591)*$CY$113, SUM(I698:L698)*$CY$114)/config!$AC$16</f>
        <v>0</v>
      </c>
    </row>
    <row r="53" spans="1:107" ht="15" x14ac:dyDescent="0.25">
      <c r="A53" s="190" t="s">
        <v>89</v>
      </c>
      <c r="B53" s="642">
        <v>6</v>
      </c>
      <c r="C53" s="184">
        <v>0</v>
      </c>
      <c r="D53" s="184">
        <v>4</v>
      </c>
      <c r="E53" s="184">
        <v>0</v>
      </c>
      <c r="F53" s="184">
        <v>2</v>
      </c>
      <c r="G53" s="184">
        <v>0</v>
      </c>
      <c r="H53" s="184">
        <v>0</v>
      </c>
      <c r="I53" s="184">
        <v>0</v>
      </c>
      <c r="J53" s="184">
        <v>0</v>
      </c>
      <c r="K53" s="184">
        <v>0</v>
      </c>
      <c r="L53" s="184">
        <v>0</v>
      </c>
      <c r="M53" s="654" t="s">
        <v>24</v>
      </c>
      <c r="N53" s="669" t="s">
        <v>89</v>
      </c>
      <c r="O53" s="642">
        <v>0</v>
      </c>
      <c r="P53" s="184">
        <v>0</v>
      </c>
      <c r="Q53" s="184">
        <v>0</v>
      </c>
      <c r="R53" s="184">
        <v>0</v>
      </c>
      <c r="S53" s="184">
        <v>1</v>
      </c>
      <c r="T53" s="184">
        <v>2</v>
      </c>
      <c r="U53" s="184">
        <v>1</v>
      </c>
      <c r="V53" s="184">
        <v>2</v>
      </c>
      <c r="W53" s="184">
        <v>0</v>
      </c>
      <c r="X53" s="184">
        <v>0</v>
      </c>
      <c r="Y53" s="184">
        <v>0</v>
      </c>
      <c r="Z53" s="184">
        <v>0</v>
      </c>
      <c r="AA53" s="184">
        <v>0</v>
      </c>
      <c r="AB53" s="184">
        <v>0</v>
      </c>
      <c r="AC53" s="185">
        <v>36</v>
      </c>
      <c r="AD53" s="185" t="s">
        <v>24</v>
      </c>
      <c r="AE53" s="184">
        <v>0</v>
      </c>
      <c r="AF53" s="185">
        <v>0</v>
      </c>
      <c r="AG53" s="184">
        <v>0</v>
      </c>
      <c r="AH53" s="185">
        <v>0</v>
      </c>
      <c r="AI53" s="184">
        <v>0</v>
      </c>
      <c r="AJ53" s="643">
        <v>0</v>
      </c>
      <c r="AP53" s="401">
        <f t="shared" si="40"/>
        <v>8</v>
      </c>
      <c r="AR53" s="56">
        <f t="shared" si="41"/>
        <v>0.43750000000000022</v>
      </c>
      <c r="AS53" s="67">
        <f>SUM(C57,C164,C271,C378,C485,C592,C699)/config!$AC$13</f>
        <v>0.14285714285714285</v>
      </c>
      <c r="AT53" s="68">
        <f>SUM(D57:E57,D164:E164,D271:E271,D378:E378,D485:E485,D592:E592,D699:E699)/config!$AC$13</f>
        <v>9.1428571428571423</v>
      </c>
      <c r="AU53" s="68">
        <f>SUM(F57:G57,F164:G164,F271:G271,F378:G378,F485:G485,F592:G592,F699:G699)/config!$AC$13</f>
        <v>1.1428571428571428</v>
      </c>
      <c r="AV53" s="68">
        <f>SUM(H57,H164,H271,H378,H485,H592,H699)/config!$AC$13</f>
        <v>0</v>
      </c>
      <c r="AW53" s="69">
        <f>SUM(I57:L57,I164:L164,I271:L271,I378:L378,I485:L485,I592:L592,I699:L699)/config!$AC$13</f>
        <v>0.14285714285714285</v>
      </c>
      <c r="AY53" s="56">
        <f t="shared" si="42"/>
        <v>0.43750000000000022</v>
      </c>
      <c r="AZ53" s="70">
        <f t="shared" si="55"/>
        <v>9</v>
      </c>
      <c r="BA53" s="71">
        <f t="shared" si="56"/>
        <v>9</v>
      </c>
      <c r="BB53" s="71">
        <f t="shared" si="57"/>
        <v>10</v>
      </c>
      <c r="BC53" s="71">
        <f t="shared" si="58"/>
        <v>10</v>
      </c>
      <c r="BD53" s="71">
        <f t="shared" si="59"/>
        <v>8</v>
      </c>
      <c r="BE53" s="71">
        <f t="shared" si="60"/>
        <v>20</v>
      </c>
      <c r="BF53" s="72">
        <f t="shared" si="61"/>
        <v>8</v>
      </c>
      <c r="BG53" s="45"/>
      <c r="BH53" s="56">
        <f t="shared" si="62"/>
        <v>0.43750000000000022</v>
      </c>
      <c r="BI53" s="67">
        <f t="shared" si="63"/>
        <v>41.9</v>
      </c>
      <c r="BJ53" s="68">
        <f t="shared" si="64"/>
        <v>37.6</v>
      </c>
      <c r="BK53" s="68">
        <f t="shared" si="65"/>
        <v>35.4</v>
      </c>
      <c r="BL53" s="68">
        <f t="shared" si="66"/>
        <v>37.6</v>
      </c>
      <c r="BM53" s="68">
        <f t="shared" si="67"/>
        <v>47.5</v>
      </c>
      <c r="BN53" s="68">
        <f t="shared" si="68"/>
        <v>34.200000000000003</v>
      </c>
      <c r="BO53" s="69">
        <f t="shared" si="69"/>
        <v>34.9</v>
      </c>
      <c r="BP53" s="63"/>
      <c r="BQ53" s="64">
        <f t="shared" si="70"/>
        <v>0.43750000000000022</v>
      </c>
      <c r="BR53" s="67" t="str">
        <f t="shared" si="71"/>
        <v/>
      </c>
      <c r="BS53" s="68" t="str">
        <f t="shared" si="72"/>
        <v/>
      </c>
      <c r="BT53" s="68" t="str">
        <f t="shared" si="73"/>
        <v/>
      </c>
      <c r="BU53" s="68" t="str">
        <f t="shared" si="74"/>
        <v/>
      </c>
      <c r="BV53" s="68" t="str">
        <f t="shared" si="75"/>
        <v/>
      </c>
      <c r="BW53" s="68">
        <f t="shared" si="76"/>
        <v>38.9</v>
      </c>
      <c r="BX53" s="69" t="str">
        <f t="shared" si="77"/>
        <v/>
      </c>
      <c r="BY53" s="65"/>
      <c r="BZ53" s="66">
        <f t="shared" si="43"/>
        <v>38.442857142857136</v>
      </c>
      <c r="CA53" s="414">
        <f t="shared" si="31"/>
        <v>38.9</v>
      </c>
      <c r="CB53" s="416">
        <f t="shared" si="48"/>
        <v>60</v>
      </c>
      <c r="CC53" s="65"/>
      <c r="CD53" s="67">
        <f t="shared" si="78"/>
        <v>0</v>
      </c>
      <c r="CE53" s="68">
        <f t="shared" si="79"/>
        <v>0</v>
      </c>
      <c r="CF53" s="68">
        <f t="shared" si="80"/>
        <v>0</v>
      </c>
      <c r="CG53" s="68">
        <f t="shared" si="81"/>
        <v>0</v>
      </c>
      <c r="CH53" s="68">
        <f t="shared" si="82"/>
        <v>2</v>
      </c>
      <c r="CI53" s="68">
        <f t="shared" si="83"/>
        <v>0</v>
      </c>
      <c r="CJ53" s="69">
        <f t="shared" si="84"/>
        <v>0</v>
      </c>
      <c r="CM53" s="67">
        <f t="shared" si="44"/>
        <v>377.09999999999997</v>
      </c>
      <c r="CN53" s="68">
        <f t="shared" si="49"/>
        <v>338.40000000000003</v>
      </c>
      <c r="CO53" s="68">
        <f t="shared" si="50"/>
        <v>354</v>
      </c>
      <c r="CP53" s="68">
        <f t="shared" si="51"/>
        <v>376</v>
      </c>
      <c r="CQ53" s="68">
        <f t="shared" si="52"/>
        <v>380</v>
      </c>
      <c r="CR53" s="68">
        <f t="shared" si="53"/>
        <v>684</v>
      </c>
      <c r="CS53" s="69">
        <f t="shared" si="54"/>
        <v>279.2</v>
      </c>
      <c r="CU53" s="511">
        <f>SUM(SUMIF($AZ$8:$BF$8, {"NON";"NEUT"}, AZ53:BF53))/config!$AC$16</f>
        <v>9.1999999999999993</v>
      </c>
      <c r="CV53" s="512">
        <f t="shared" si="45"/>
        <v>0.43750000000000022</v>
      </c>
      <c r="CY53" s="67">
        <f>SUM(C57*$CY$108, C164*$CY$109, C271*$CY$110, C378*$CY$111, C485*$CY$112, C592*$CY$113, C699*$CY$114)/config!$AC$16</f>
        <v>0</v>
      </c>
      <c r="CZ53" s="68">
        <f>SUM(SUM(D57:E57)*$CY$108, SUM(D164:E164)*$CY$109, SUM(D271:E271)*$CY$110, SUM(D378:E378)*$CY$111, SUM(D485:E485)*$CY$112, SUM(D592:E592)*$CY$113, SUM(D699:E699)*$CY$114)/config!$AC$16</f>
        <v>7.8</v>
      </c>
      <c r="DA53" s="68">
        <f>SUM(SUM(F57:G57)*$CY$108, SUM(F164:G164)*$CY$109, SUM(F271:G271)*$CY$110, SUM(F378:G378)*$CY$111, SUM(F485:G485)*$CY$112, SUM(F592:G592)*$CY$113, SUM(F699:G699)*$CY$114)/config!$AC$16</f>
        <v>1.2</v>
      </c>
      <c r="DB53" s="68">
        <f>SUM(H57*$CY$108, H164*$CY$109, H271*$CY$110, H378*$CY$111, H485*$CY$112, H592*$CY$113, H699*$CY$114)/config!$AC$16</f>
        <v>0</v>
      </c>
      <c r="DC53" s="69">
        <f>SUM(SUM(I57:L57)*$CY$108, SUM(I164:L164)*$CY$109, SUM(I271:L271)*$CY$110, SUM(I378:L378)*$CY$111, SUM(I485:L485)*$CY$112, SUM(I592:L592)*$CY$113, SUM(I699:L699)*$CY$114)/config!$AC$16</f>
        <v>0.2</v>
      </c>
    </row>
    <row r="54" spans="1:107" ht="15" x14ac:dyDescent="0.25">
      <c r="A54" s="190" t="s">
        <v>90</v>
      </c>
      <c r="B54" s="642">
        <v>14</v>
      </c>
      <c r="C54" s="184">
        <v>0</v>
      </c>
      <c r="D54" s="184">
        <v>12</v>
      </c>
      <c r="E54" s="184">
        <v>0</v>
      </c>
      <c r="F54" s="184">
        <v>2</v>
      </c>
      <c r="G54" s="184">
        <v>0</v>
      </c>
      <c r="H54" s="184">
        <v>0</v>
      </c>
      <c r="I54" s="184">
        <v>0</v>
      </c>
      <c r="J54" s="184">
        <v>0</v>
      </c>
      <c r="K54" s="184">
        <v>0</v>
      </c>
      <c r="L54" s="184">
        <v>0</v>
      </c>
      <c r="M54" s="654" t="s">
        <v>24</v>
      </c>
      <c r="N54" s="669" t="s">
        <v>90</v>
      </c>
      <c r="O54" s="642">
        <v>0</v>
      </c>
      <c r="P54" s="184">
        <v>0</v>
      </c>
      <c r="Q54" s="184">
        <v>0</v>
      </c>
      <c r="R54" s="184">
        <v>0</v>
      </c>
      <c r="S54" s="184">
        <v>1</v>
      </c>
      <c r="T54" s="184">
        <v>6</v>
      </c>
      <c r="U54" s="184">
        <v>4</v>
      </c>
      <c r="V54" s="184">
        <v>1</v>
      </c>
      <c r="W54" s="184">
        <v>2</v>
      </c>
      <c r="X54" s="184">
        <v>0</v>
      </c>
      <c r="Y54" s="184">
        <v>0</v>
      </c>
      <c r="Z54" s="184">
        <v>0</v>
      </c>
      <c r="AA54" s="184">
        <v>0</v>
      </c>
      <c r="AB54" s="184">
        <v>0</v>
      </c>
      <c r="AC54" s="185">
        <v>36.5</v>
      </c>
      <c r="AD54" s="185">
        <v>45</v>
      </c>
      <c r="AE54" s="184">
        <v>0</v>
      </c>
      <c r="AF54" s="185">
        <v>0</v>
      </c>
      <c r="AG54" s="184">
        <v>0</v>
      </c>
      <c r="AH54" s="185">
        <v>0</v>
      </c>
      <c r="AI54" s="184">
        <v>0</v>
      </c>
      <c r="AJ54" s="643">
        <v>0</v>
      </c>
      <c r="AP54" s="401">
        <f t="shared" si="40"/>
        <v>3</v>
      </c>
      <c r="AR54" s="56">
        <f t="shared" si="41"/>
        <v>0.44791666666666691</v>
      </c>
      <c r="AS54" s="67">
        <f>SUM(C58,C165,C272,C379,C486,C593,C700)/config!$AC$13</f>
        <v>0.42857142857142855</v>
      </c>
      <c r="AT54" s="68">
        <f>SUM(D58:E58,D165:E165,D272:E272,D379:E379,D486:E486,D593:E593,D700:E700)/config!$AC$13</f>
        <v>8.7142857142857135</v>
      </c>
      <c r="AU54" s="68">
        <f>SUM(F58:G58,F165:G165,F272:G272,F379:G379,F486:G486,F593:G593,F700:G700)/config!$AC$13</f>
        <v>0.42857142857142855</v>
      </c>
      <c r="AV54" s="68">
        <f>SUM(H58,H165,H272,H379,H486,H593,H700)/config!$AC$13</f>
        <v>0</v>
      </c>
      <c r="AW54" s="69">
        <f>SUM(I58:L58,I165:L165,I272:L272,I379:L379,I486:L486,I593:L593,I700:L700)/config!$AC$13</f>
        <v>0.14285714285714285</v>
      </c>
      <c r="AY54" s="56">
        <f t="shared" si="42"/>
        <v>0.44791666666666691</v>
      </c>
      <c r="AZ54" s="70">
        <f t="shared" si="55"/>
        <v>19</v>
      </c>
      <c r="BA54" s="71">
        <f t="shared" si="56"/>
        <v>7</v>
      </c>
      <c r="BB54" s="71">
        <f t="shared" si="57"/>
        <v>6</v>
      </c>
      <c r="BC54" s="71">
        <f t="shared" si="58"/>
        <v>3</v>
      </c>
      <c r="BD54" s="71">
        <f t="shared" si="59"/>
        <v>15</v>
      </c>
      <c r="BE54" s="71">
        <f t="shared" si="60"/>
        <v>13</v>
      </c>
      <c r="BF54" s="72">
        <f t="shared" si="61"/>
        <v>5</v>
      </c>
      <c r="BG54" s="45"/>
      <c r="BH54" s="56">
        <f t="shared" si="62"/>
        <v>0.44791666666666691</v>
      </c>
      <c r="BI54" s="67">
        <f t="shared" si="63"/>
        <v>41</v>
      </c>
      <c r="BJ54" s="68">
        <f t="shared" si="64"/>
        <v>32.1</v>
      </c>
      <c r="BK54" s="68">
        <f t="shared" si="65"/>
        <v>30.5</v>
      </c>
      <c r="BL54" s="68">
        <f t="shared" si="66"/>
        <v>40.700000000000003</v>
      </c>
      <c r="BM54" s="68">
        <f t="shared" si="67"/>
        <v>41.2</v>
      </c>
      <c r="BN54" s="68">
        <f t="shared" si="68"/>
        <v>34.299999999999997</v>
      </c>
      <c r="BO54" s="69">
        <f t="shared" si="69"/>
        <v>29</v>
      </c>
      <c r="BP54" s="63"/>
      <c r="BQ54" s="64">
        <f t="shared" si="70"/>
        <v>0.44791666666666691</v>
      </c>
      <c r="BR54" s="67">
        <f t="shared" si="71"/>
        <v>46.1</v>
      </c>
      <c r="BS54" s="68" t="str">
        <f t="shared" si="72"/>
        <v/>
      </c>
      <c r="BT54" s="68" t="str">
        <f t="shared" si="73"/>
        <v/>
      </c>
      <c r="BU54" s="68" t="str">
        <f t="shared" si="74"/>
        <v/>
      </c>
      <c r="BV54" s="68">
        <f t="shared" si="75"/>
        <v>52.4</v>
      </c>
      <c r="BW54" s="68">
        <f t="shared" si="76"/>
        <v>41.5</v>
      </c>
      <c r="BX54" s="69" t="str">
        <f t="shared" si="77"/>
        <v/>
      </c>
      <c r="BY54" s="65"/>
      <c r="BZ54" s="66">
        <f t="shared" si="43"/>
        <v>35.542857142857144</v>
      </c>
      <c r="CA54" s="414">
        <f t="shared" si="31"/>
        <v>46.666666666666664</v>
      </c>
      <c r="CB54" s="416">
        <f t="shared" si="48"/>
        <v>60</v>
      </c>
      <c r="CC54" s="65"/>
      <c r="CD54" s="67">
        <f t="shared" si="78"/>
        <v>0</v>
      </c>
      <c r="CE54" s="68">
        <f t="shared" si="79"/>
        <v>0</v>
      </c>
      <c r="CF54" s="68">
        <f t="shared" si="80"/>
        <v>0</v>
      </c>
      <c r="CG54" s="68">
        <f t="shared" si="81"/>
        <v>0</v>
      </c>
      <c r="CH54" s="68">
        <f t="shared" si="82"/>
        <v>0</v>
      </c>
      <c r="CI54" s="68">
        <f t="shared" si="83"/>
        <v>0</v>
      </c>
      <c r="CJ54" s="69">
        <f t="shared" si="84"/>
        <v>0</v>
      </c>
      <c r="CM54" s="67">
        <f t="shared" si="44"/>
        <v>779</v>
      </c>
      <c r="CN54" s="68">
        <f t="shared" si="49"/>
        <v>224.70000000000002</v>
      </c>
      <c r="CO54" s="68">
        <f t="shared" si="50"/>
        <v>183</v>
      </c>
      <c r="CP54" s="68">
        <f t="shared" si="51"/>
        <v>122.10000000000001</v>
      </c>
      <c r="CQ54" s="68">
        <f t="shared" si="52"/>
        <v>618</v>
      </c>
      <c r="CR54" s="68">
        <f t="shared" si="53"/>
        <v>445.9</v>
      </c>
      <c r="CS54" s="69">
        <f t="shared" si="54"/>
        <v>145</v>
      </c>
      <c r="CU54" s="511">
        <f>SUM(SUMIF($AZ$8:$BF$8, {"NON";"NEUT"}, AZ54:BF54))/config!$AC$16</f>
        <v>8</v>
      </c>
      <c r="CV54" s="512">
        <f t="shared" si="45"/>
        <v>0.44791666666666691</v>
      </c>
      <c r="CY54" s="67">
        <f>SUM(C58*$CY$108, C165*$CY$109, C272*$CY$110, C379*$CY$111, C486*$CY$112, C593*$CY$113, C700*$CY$114)/config!$AC$16</f>
        <v>0.2</v>
      </c>
      <c r="CZ54" s="68">
        <f>SUM(SUM(D58:E58)*$CY$108, SUM(D165:E165)*$CY$109, SUM(D272:E272)*$CY$110, SUM(D379:E379)*$CY$111, SUM(D486:E486)*$CY$112, SUM(D593:E593)*$CY$113, SUM(D700:E700)*$CY$114)/config!$AC$16</f>
        <v>7.4</v>
      </c>
      <c r="DA54" s="68">
        <f>SUM(SUM(F58:G58)*$CY$108, SUM(F165:G165)*$CY$109, SUM(F272:G272)*$CY$110, SUM(F379:G379)*$CY$111, SUM(F486:G486)*$CY$112, SUM(F593:G593)*$CY$113, SUM(F700:G700)*$CY$114)/config!$AC$16</f>
        <v>0.2</v>
      </c>
      <c r="DB54" s="68">
        <f>SUM(H58*$CY$108, H165*$CY$109, H272*$CY$110, H379*$CY$111, H486*$CY$112, H593*$CY$113, H700*$CY$114)/config!$AC$16</f>
        <v>0</v>
      </c>
      <c r="DC54" s="69">
        <f>SUM(SUM(I58:L58)*$CY$108, SUM(I165:L165)*$CY$109, SUM(I272:L272)*$CY$110, SUM(I379:L379)*$CY$111, SUM(I486:L486)*$CY$112, SUM(I593:L593)*$CY$113, SUM(I700:L700)*$CY$114)/config!$AC$16</f>
        <v>0.2</v>
      </c>
    </row>
    <row r="55" spans="1:107" ht="15" x14ac:dyDescent="0.25">
      <c r="A55" s="190" t="s">
        <v>55</v>
      </c>
      <c r="B55" s="642">
        <v>11</v>
      </c>
      <c r="C55" s="184">
        <v>0</v>
      </c>
      <c r="D55" s="184">
        <v>9</v>
      </c>
      <c r="E55" s="184">
        <v>0</v>
      </c>
      <c r="F55" s="184">
        <v>2</v>
      </c>
      <c r="G55" s="184">
        <v>0</v>
      </c>
      <c r="H55" s="184">
        <v>0</v>
      </c>
      <c r="I55" s="184">
        <v>0</v>
      </c>
      <c r="J55" s="184">
        <v>0</v>
      </c>
      <c r="K55" s="184">
        <v>0</v>
      </c>
      <c r="L55" s="184">
        <v>0</v>
      </c>
      <c r="M55" s="654" t="s">
        <v>24</v>
      </c>
      <c r="N55" s="669" t="s">
        <v>55</v>
      </c>
      <c r="O55" s="642">
        <v>0</v>
      </c>
      <c r="P55" s="184">
        <v>0</v>
      </c>
      <c r="Q55" s="184">
        <v>0</v>
      </c>
      <c r="R55" s="184">
        <v>3</v>
      </c>
      <c r="S55" s="184">
        <v>2</v>
      </c>
      <c r="T55" s="184">
        <v>2</v>
      </c>
      <c r="U55" s="184">
        <v>2</v>
      </c>
      <c r="V55" s="184">
        <v>2</v>
      </c>
      <c r="W55" s="184">
        <v>0</v>
      </c>
      <c r="X55" s="184">
        <v>0</v>
      </c>
      <c r="Y55" s="184">
        <v>0</v>
      </c>
      <c r="Z55" s="184">
        <v>0</v>
      </c>
      <c r="AA55" s="184">
        <v>0</v>
      </c>
      <c r="AB55" s="184">
        <v>0</v>
      </c>
      <c r="AC55" s="185">
        <v>31.2</v>
      </c>
      <c r="AD55" s="185">
        <v>40.6</v>
      </c>
      <c r="AE55" s="184">
        <v>0</v>
      </c>
      <c r="AF55" s="185">
        <v>0</v>
      </c>
      <c r="AG55" s="184">
        <v>0</v>
      </c>
      <c r="AH55" s="185">
        <v>0</v>
      </c>
      <c r="AI55" s="184">
        <v>0</v>
      </c>
      <c r="AJ55" s="643">
        <v>0</v>
      </c>
      <c r="AP55" s="401">
        <f t="shared" si="40"/>
        <v>7</v>
      </c>
      <c r="AR55" s="56">
        <f t="shared" si="41"/>
        <v>0.45833333333333359</v>
      </c>
      <c r="AS55" s="67">
        <f>SUM(C59,C166,C273,C380,C487,C594,C701)/config!$AC$13</f>
        <v>0.14285714285714285</v>
      </c>
      <c r="AT55" s="68">
        <f>SUM(D59:E59,D166:E166,D273:E273,D380:E380,D487:E487,D594:E594,D701:E701)/config!$AC$13</f>
        <v>7</v>
      </c>
      <c r="AU55" s="68">
        <f>SUM(F59:G59,F166:G166,F273:G273,F380:G380,F487:G487,F594:G594,F701:G701)/config!$AC$13</f>
        <v>1.1428571428571428</v>
      </c>
      <c r="AV55" s="68">
        <f>SUM(H59,H166,H273,H380,H487,H594,H701)/config!$AC$13</f>
        <v>0.14285714285714285</v>
      </c>
      <c r="AW55" s="69">
        <f>SUM(I59:L59,I166:L166,I273:L273,I380:L380,I487:L487,I594:L594,I701:L701)/config!$AC$13</f>
        <v>0</v>
      </c>
      <c r="AY55" s="56">
        <f t="shared" si="42"/>
        <v>0.45833333333333359</v>
      </c>
      <c r="AZ55" s="70">
        <f t="shared" si="55"/>
        <v>4</v>
      </c>
      <c r="BA55" s="71">
        <f t="shared" si="56"/>
        <v>7</v>
      </c>
      <c r="BB55" s="71">
        <f t="shared" si="57"/>
        <v>8</v>
      </c>
      <c r="BC55" s="71">
        <f t="shared" si="58"/>
        <v>16</v>
      </c>
      <c r="BD55" s="71">
        <f t="shared" si="59"/>
        <v>8</v>
      </c>
      <c r="BE55" s="71">
        <f t="shared" si="60"/>
        <v>10</v>
      </c>
      <c r="BF55" s="72">
        <f t="shared" si="61"/>
        <v>6</v>
      </c>
      <c r="BG55" s="45"/>
      <c r="BH55" s="56">
        <f t="shared" si="62"/>
        <v>0.45833333333333359</v>
      </c>
      <c r="BI55" s="67">
        <f t="shared" si="63"/>
        <v>39.799999999999997</v>
      </c>
      <c r="BJ55" s="68">
        <f t="shared" si="64"/>
        <v>41.9</v>
      </c>
      <c r="BK55" s="68">
        <f t="shared" si="65"/>
        <v>34.4</v>
      </c>
      <c r="BL55" s="68">
        <f t="shared" si="66"/>
        <v>41.2</v>
      </c>
      <c r="BM55" s="68">
        <f t="shared" si="67"/>
        <v>38.700000000000003</v>
      </c>
      <c r="BN55" s="68">
        <f t="shared" si="68"/>
        <v>34.9</v>
      </c>
      <c r="BO55" s="69">
        <f t="shared" si="69"/>
        <v>36.4</v>
      </c>
      <c r="BP55" s="63"/>
      <c r="BQ55" s="64">
        <f t="shared" si="70"/>
        <v>0.45833333333333359</v>
      </c>
      <c r="BR55" s="67" t="str">
        <f t="shared" si="71"/>
        <v/>
      </c>
      <c r="BS55" s="68" t="str">
        <f t="shared" si="72"/>
        <v/>
      </c>
      <c r="BT55" s="68" t="str">
        <f t="shared" si="73"/>
        <v/>
      </c>
      <c r="BU55" s="68">
        <f t="shared" si="74"/>
        <v>47.7</v>
      </c>
      <c r="BV55" s="68" t="str">
        <f t="shared" si="75"/>
        <v/>
      </c>
      <c r="BW55" s="68" t="str">
        <f t="shared" si="76"/>
        <v/>
      </c>
      <c r="BX55" s="69" t="str">
        <f t="shared" si="77"/>
        <v/>
      </c>
      <c r="BY55" s="65"/>
      <c r="BZ55" s="66">
        <f t="shared" si="43"/>
        <v>38.18571428571429</v>
      </c>
      <c r="CA55" s="414">
        <f t="shared" si="31"/>
        <v>47.7</v>
      </c>
      <c r="CB55" s="416">
        <f t="shared" si="48"/>
        <v>60</v>
      </c>
      <c r="CC55" s="65"/>
      <c r="CD55" s="67">
        <f t="shared" si="78"/>
        <v>0</v>
      </c>
      <c r="CE55" s="68">
        <f t="shared" si="79"/>
        <v>0</v>
      </c>
      <c r="CF55" s="68">
        <f t="shared" si="80"/>
        <v>0</v>
      </c>
      <c r="CG55" s="68">
        <f t="shared" si="81"/>
        <v>0</v>
      </c>
      <c r="CH55" s="68">
        <f t="shared" si="82"/>
        <v>0</v>
      </c>
      <c r="CI55" s="68">
        <f t="shared" si="83"/>
        <v>0</v>
      </c>
      <c r="CJ55" s="69">
        <f t="shared" si="84"/>
        <v>0</v>
      </c>
      <c r="CM55" s="67">
        <f t="shared" si="44"/>
        <v>159.19999999999999</v>
      </c>
      <c r="CN55" s="68">
        <f t="shared" si="49"/>
        <v>293.3</v>
      </c>
      <c r="CO55" s="68">
        <f t="shared" si="50"/>
        <v>275.2</v>
      </c>
      <c r="CP55" s="68">
        <f t="shared" si="51"/>
        <v>659.2</v>
      </c>
      <c r="CQ55" s="68">
        <f t="shared" si="52"/>
        <v>309.60000000000002</v>
      </c>
      <c r="CR55" s="68">
        <f t="shared" si="53"/>
        <v>349</v>
      </c>
      <c r="CS55" s="69">
        <f t="shared" si="54"/>
        <v>218.39999999999998</v>
      </c>
      <c r="CU55" s="511">
        <f>SUM(SUMIF($AZ$8:$BF$8, {"NON";"NEUT"}, AZ55:BF55))/config!$AC$16</f>
        <v>8.1999999999999993</v>
      </c>
      <c r="CV55" s="512">
        <f t="shared" si="45"/>
        <v>0.45833333333333359</v>
      </c>
      <c r="CY55" s="67">
        <f>SUM(C59*$CY$108, C166*$CY$109, C273*$CY$110, C380*$CY$111, C487*$CY$112, C594*$CY$113, C701*$CY$114)/config!$AC$16</f>
        <v>0</v>
      </c>
      <c r="CZ55" s="68">
        <f>SUM(SUM(D59:E59)*$CY$108, SUM(D166:E166)*$CY$109, SUM(D273:E273)*$CY$110, SUM(D380:E380)*$CY$111, SUM(D487:E487)*$CY$112, SUM(D594:E594)*$CY$113, SUM(D701:E701)*$CY$114)/config!$AC$16</f>
        <v>6.8</v>
      </c>
      <c r="DA55" s="68">
        <f>SUM(SUM(F59:G59)*$CY$108, SUM(F166:G166)*$CY$109, SUM(F273:G273)*$CY$110, SUM(F380:G380)*$CY$111, SUM(F487:G487)*$CY$112, SUM(F594:G594)*$CY$113, SUM(F701:G701)*$CY$114)/config!$AC$16</f>
        <v>1.4</v>
      </c>
      <c r="DB55" s="68">
        <f>SUM(H59*$CY$108, H166*$CY$109, H273*$CY$110, H380*$CY$111, H487*$CY$112, H594*$CY$113, H701*$CY$114)/config!$AC$16</f>
        <v>0</v>
      </c>
      <c r="DC55" s="69">
        <f>SUM(SUM(I59:L59)*$CY$108, SUM(I166:L166)*$CY$109, SUM(I273:L273)*$CY$110, SUM(I380:L380)*$CY$111, SUM(I487:L487)*$CY$112, SUM(I594:L594)*$CY$113, SUM(I701:L701)*$CY$114)/config!$AC$16</f>
        <v>0</v>
      </c>
    </row>
    <row r="56" spans="1:107" ht="15" x14ac:dyDescent="0.25">
      <c r="A56" s="190" t="s">
        <v>91</v>
      </c>
      <c r="B56" s="642">
        <v>9</v>
      </c>
      <c r="C56" s="184">
        <v>0</v>
      </c>
      <c r="D56" s="184">
        <v>6</v>
      </c>
      <c r="E56" s="184">
        <v>0</v>
      </c>
      <c r="F56" s="184">
        <v>3</v>
      </c>
      <c r="G56" s="184">
        <v>0</v>
      </c>
      <c r="H56" s="184">
        <v>0</v>
      </c>
      <c r="I56" s="184">
        <v>0</v>
      </c>
      <c r="J56" s="184">
        <v>0</v>
      </c>
      <c r="K56" s="184">
        <v>0</v>
      </c>
      <c r="L56" s="184">
        <v>0</v>
      </c>
      <c r="M56" s="654" t="s">
        <v>24</v>
      </c>
      <c r="N56" s="669" t="s">
        <v>91</v>
      </c>
      <c r="O56" s="642">
        <v>0</v>
      </c>
      <c r="P56" s="184">
        <v>0</v>
      </c>
      <c r="Q56" s="184">
        <v>0</v>
      </c>
      <c r="R56" s="184">
        <v>0</v>
      </c>
      <c r="S56" s="184">
        <v>1</v>
      </c>
      <c r="T56" s="184">
        <v>3</v>
      </c>
      <c r="U56" s="184">
        <v>0</v>
      </c>
      <c r="V56" s="184">
        <v>0</v>
      </c>
      <c r="W56" s="184">
        <v>4</v>
      </c>
      <c r="X56" s="184">
        <v>1</v>
      </c>
      <c r="Y56" s="184">
        <v>0</v>
      </c>
      <c r="Z56" s="184">
        <v>0</v>
      </c>
      <c r="AA56" s="184">
        <v>0</v>
      </c>
      <c r="AB56" s="184">
        <v>0</v>
      </c>
      <c r="AC56" s="185">
        <v>40.6</v>
      </c>
      <c r="AD56" s="185" t="s">
        <v>24</v>
      </c>
      <c r="AE56" s="184">
        <v>0</v>
      </c>
      <c r="AF56" s="185">
        <v>0</v>
      </c>
      <c r="AG56" s="184">
        <v>0</v>
      </c>
      <c r="AH56" s="185">
        <v>0</v>
      </c>
      <c r="AI56" s="184">
        <v>0</v>
      </c>
      <c r="AJ56" s="643">
        <v>0</v>
      </c>
      <c r="AP56" s="401">
        <f t="shared" si="40"/>
        <v>9</v>
      </c>
      <c r="AR56" s="56">
        <f t="shared" si="41"/>
        <v>0.46875000000000028</v>
      </c>
      <c r="AS56" s="67">
        <f>SUM(C60,C167,C274,C381,C488,C595,C702)/config!$AC$13</f>
        <v>0.2857142857142857</v>
      </c>
      <c r="AT56" s="68">
        <f>SUM(D60:E60,D167:E167,D274:E274,D381:E381,D488:E488,D595:E595,D702:E702)/config!$AC$13</f>
        <v>10.142857142857142</v>
      </c>
      <c r="AU56" s="68">
        <f>SUM(F60:G60,F167:G167,F274:G274,F381:G381,F488:G488,F595:G595,F702:G702)/config!$AC$13</f>
        <v>1.2857142857142858</v>
      </c>
      <c r="AV56" s="68">
        <f>SUM(H60,H167,H274,H381,H488,H595,H702)/config!$AC$13</f>
        <v>0</v>
      </c>
      <c r="AW56" s="69">
        <f>SUM(I60:L60,I167:L167,I274:L274,I381:L381,I488:L488,I595:L595,I702:L702)/config!$AC$13</f>
        <v>0</v>
      </c>
      <c r="AY56" s="56">
        <f t="shared" si="42"/>
        <v>0.46875000000000028</v>
      </c>
      <c r="AZ56" s="70">
        <f t="shared" si="55"/>
        <v>6</v>
      </c>
      <c r="BA56" s="71">
        <f t="shared" si="56"/>
        <v>12</v>
      </c>
      <c r="BB56" s="71">
        <f t="shared" si="57"/>
        <v>7</v>
      </c>
      <c r="BC56" s="71">
        <f t="shared" si="58"/>
        <v>12</v>
      </c>
      <c r="BD56" s="71">
        <f t="shared" si="59"/>
        <v>7</v>
      </c>
      <c r="BE56" s="71">
        <f t="shared" si="60"/>
        <v>26</v>
      </c>
      <c r="BF56" s="72">
        <f t="shared" si="61"/>
        <v>12</v>
      </c>
      <c r="BG56" s="45"/>
      <c r="BH56" s="56">
        <f t="shared" si="62"/>
        <v>0.46875000000000028</v>
      </c>
      <c r="BI56" s="67">
        <f t="shared" si="63"/>
        <v>37.6</v>
      </c>
      <c r="BJ56" s="68">
        <f t="shared" si="64"/>
        <v>38.9</v>
      </c>
      <c r="BK56" s="68">
        <f t="shared" si="65"/>
        <v>42.9</v>
      </c>
      <c r="BL56" s="68">
        <f t="shared" si="66"/>
        <v>37.700000000000003</v>
      </c>
      <c r="BM56" s="68">
        <f t="shared" si="67"/>
        <v>43.3</v>
      </c>
      <c r="BN56" s="68">
        <f t="shared" si="68"/>
        <v>35.6</v>
      </c>
      <c r="BO56" s="69">
        <f t="shared" si="69"/>
        <v>39.299999999999997</v>
      </c>
      <c r="BP56" s="63"/>
      <c r="BQ56" s="64">
        <f t="shared" si="70"/>
        <v>0.46875000000000028</v>
      </c>
      <c r="BR56" s="67" t="str">
        <f t="shared" si="71"/>
        <v/>
      </c>
      <c r="BS56" s="68">
        <f t="shared" si="72"/>
        <v>44.7</v>
      </c>
      <c r="BT56" s="68" t="str">
        <f t="shared" si="73"/>
        <v/>
      </c>
      <c r="BU56" s="68">
        <f t="shared" si="74"/>
        <v>44.3</v>
      </c>
      <c r="BV56" s="68" t="str">
        <f t="shared" si="75"/>
        <v/>
      </c>
      <c r="BW56" s="68">
        <f t="shared" si="76"/>
        <v>41.3</v>
      </c>
      <c r="BX56" s="69">
        <f t="shared" si="77"/>
        <v>47.5</v>
      </c>
      <c r="BY56" s="65"/>
      <c r="BZ56" s="66">
        <f t="shared" si="43"/>
        <v>39.328571428571429</v>
      </c>
      <c r="CA56" s="414">
        <f t="shared" si="31"/>
        <v>44.45</v>
      </c>
      <c r="CB56" s="416">
        <f t="shared" si="48"/>
        <v>60</v>
      </c>
      <c r="CC56" s="65"/>
      <c r="CD56" s="67">
        <f t="shared" si="78"/>
        <v>0</v>
      </c>
      <c r="CE56" s="68">
        <f t="shared" si="79"/>
        <v>0</v>
      </c>
      <c r="CF56" s="68">
        <f t="shared" si="80"/>
        <v>0</v>
      </c>
      <c r="CG56" s="68">
        <f t="shared" si="81"/>
        <v>0</v>
      </c>
      <c r="CH56" s="68">
        <f t="shared" si="82"/>
        <v>1</v>
      </c>
      <c r="CI56" s="68">
        <f t="shared" si="83"/>
        <v>0</v>
      </c>
      <c r="CJ56" s="69">
        <f t="shared" si="84"/>
        <v>0</v>
      </c>
      <c r="CM56" s="67">
        <f t="shared" si="44"/>
        <v>225.60000000000002</v>
      </c>
      <c r="CN56" s="68">
        <f t="shared" si="49"/>
        <v>466.79999999999995</v>
      </c>
      <c r="CO56" s="68">
        <f t="shared" si="50"/>
        <v>300.3</v>
      </c>
      <c r="CP56" s="68">
        <f t="shared" si="51"/>
        <v>452.40000000000003</v>
      </c>
      <c r="CQ56" s="68">
        <f t="shared" si="52"/>
        <v>303.09999999999997</v>
      </c>
      <c r="CR56" s="68">
        <f t="shared" si="53"/>
        <v>925.6</v>
      </c>
      <c r="CS56" s="69">
        <f t="shared" si="54"/>
        <v>471.59999999999997</v>
      </c>
      <c r="CU56" s="511">
        <f>SUM(SUMIF($AZ$8:$BF$8, {"NON";"NEUT"}, AZ56:BF56))/config!$AC$16</f>
        <v>9.8000000000000007</v>
      </c>
      <c r="CV56" s="512">
        <f t="shared" si="45"/>
        <v>0.46875000000000028</v>
      </c>
      <c r="CY56" s="67">
        <f>SUM(C60*$CY$108, C167*$CY$109, C274*$CY$110, C381*$CY$111, C488*$CY$112, C595*$CY$113, C702*$CY$114)/config!$AC$16</f>
        <v>0.4</v>
      </c>
      <c r="CZ56" s="68">
        <f>SUM(SUM(D60:E60)*$CY$108, SUM(D167:E167)*$CY$109, SUM(D274:E274)*$CY$110, SUM(D381:E381)*$CY$111, SUM(D488:E488)*$CY$112, SUM(D595:E595)*$CY$113, SUM(D702:E702)*$CY$114)/config!$AC$16</f>
        <v>7.8</v>
      </c>
      <c r="DA56" s="68">
        <f>SUM(SUM(F60:G60)*$CY$108, SUM(F167:G167)*$CY$109, SUM(F274:G274)*$CY$110, SUM(F381:G381)*$CY$111, SUM(F488:G488)*$CY$112, SUM(F595:G595)*$CY$113, SUM(F702:G702)*$CY$114)/config!$AC$16</f>
        <v>1.6</v>
      </c>
      <c r="DB56" s="68">
        <f>SUM(H60*$CY$108, H167*$CY$109, H274*$CY$110, H381*$CY$111, H488*$CY$112, H595*$CY$113, H702*$CY$114)/config!$AC$16</f>
        <v>0</v>
      </c>
      <c r="DC56" s="69">
        <f>SUM(SUM(I60:L60)*$CY$108, SUM(I167:L167)*$CY$109, SUM(I274:L274)*$CY$110, SUM(I381:L381)*$CY$111, SUM(I488:L488)*$CY$112, SUM(I595:L595)*$CY$113, SUM(I702:L702)*$CY$114)/config!$AC$16</f>
        <v>0</v>
      </c>
    </row>
    <row r="57" spans="1:107" ht="15" x14ac:dyDescent="0.25">
      <c r="A57" s="190" t="s">
        <v>92</v>
      </c>
      <c r="B57" s="642">
        <v>9</v>
      </c>
      <c r="C57" s="184">
        <v>0</v>
      </c>
      <c r="D57" s="184">
        <v>8</v>
      </c>
      <c r="E57" s="184">
        <v>0</v>
      </c>
      <c r="F57" s="184">
        <v>1</v>
      </c>
      <c r="G57" s="184">
        <v>0</v>
      </c>
      <c r="H57" s="184">
        <v>0</v>
      </c>
      <c r="I57" s="184">
        <v>0</v>
      </c>
      <c r="J57" s="184">
        <v>0</v>
      </c>
      <c r="K57" s="184">
        <v>0</v>
      </c>
      <c r="L57" s="184">
        <v>0</v>
      </c>
      <c r="M57" s="654" t="s">
        <v>24</v>
      </c>
      <c r="N57" s="669" t="s">
        <v>92</v>
      </c>
      <c r="O57" s="642">
        <v>0</v>
      </c>
      <c r="P57" s="184">
        <v>0</v>
      </c>
      <c r="Q57" s="184">
        <v>0</v>
      </c>
      <c r="R57" s="184">
        <v>0</v>
      </c>
      <c r="S57" s="184">
        <v>0</v>
      </c>
      <c r="T57" s="184">
        <v>0</v>
      </c>
      <c r="U57" s="184">
        <v>4</v>
      </c>
      <c r="V57" s="184">
        <v>1</v>
      </c>
      <c r="W57" s="184">
        <v>4</v>
      </c>
      <c r="X57" s="184">
        <v>0</v>
      </c>
      <c r="Y57" s="184">
        <v>0</v>
      </c>
      <c r="Z57" s="184">
        <v>0</v>
      </c>
      <c r="AA57" s="184">
        <v>0</v>
      </c>
      <c r="AB57" s="184">
        <v>0</v>
      </c>
      <c r="AC57" s="185">
        <v>41.9</v>
      </c>
      <c r="AD57" s="185" t="s">
        <v>24</v>
      </c>
      <c r="AE57" s="184">
        <v>0</v>
      </c>
      <c r="AF57" s="185">
        <v>0</v>
      </c>
      <c r="AG57" s="184">
        <v>0</v>
      </c>
      <c r="AH57" s="185">
        <v>0</v>
      </c>
      <c r="AI57" s="184">
        <v>0</v>
      </c>
      <c r="AJ57" s="643">
        <v>0</v>
      </c>
      <c r="AP57" s="401">
        <f t="shared" si="40"/>
        <v>8</v>
      </c>
      <c r="AR57" s="56">
        <f t="shared" si="41"/>
        <v>0.47916666666666696</v>
      </c>
      <c r="AS57" s="67">
        <f>SUM(C61,C168,C275,C382,C489,C596,C703)/config!$AC$13</f>
        <v>0.14285714285714285</v>
      </c>
      <c r="AT57" s="68">
        <f>SUM(D61:E61,D168:E168,D275:E275,D382:E382,D489:E489,D596:E596,D703:E703)/config!$AC$13</f>
        <v>10.714285714285714</v>
      </c>
      <c r="AU57" s="68">
        <f>SUM(F61:G61,F168:G168,F275:G275,F382:G382,F489:G489,F596:G596,F703:G703)/config!$AC$13</f>
        <v>1.1428571428571428</v>
      </c>
      <c r="AV57" s="68">
        <f>SUM(H61,H168,H275,H382,H489,H596,H703)/config!$AC$13</f>
        <v>0</v>
      </c>
      <c r="AW57" s="69">
        <f>SUM(I61:L61,I168:L168,I275:L275,I382:L382,I489:L489,I596:L596,I703:L703)/config!$AC$13</f>
        <v>0.14285714285714285</v>
      </c>
      <c r="AY57" s="56">
        <f t="shared" si="42"/>
        <v>0.47916666666666696</v>
      </c>
      <c r="AZ57" s="70">
        <f t="shared" si="55"/>
        <v>12</v>
      </c>
      <c r="BA57" s="71">
        <f t="shared" si="56"/>
        <v>19</v>
      </c>
      <c r="BB57" s="71">
        <f t="shared" si="57"/>
        <v>9</v>
      </c>
      <c r="BC57" s="71">
        <f t="shared" si="58"/>
        <v>15</v>
      </c>
      <c r="BD57" s="71">
        <f t="shared" si="59"/>
        <v>9</v>
      </c>
      <c r="BE57" s="71">
        <f t="shared" si="60"/>
        <v>12</v>
      </c>
      <c r="BF57" s="72">
        <f t="shared" si="61"/>
        <v>9</v>
      </c>
      <c r="BG57" s="45"/>
      <c r="BH57" s="56">
        <f t="shared" si="62"/>
        <v>0.47916666666666696</v>
      </c>
      <c r="BI57" s="67">
        <f t="shared" si="63"/>
        <v>41.5</v>
      </c>
      <c r="BJ57" s="68">
        <f t="shared" si="64"/>
        <v>36.1</v>
      </c>
      <c r="BK57" s="68">
        <f t="shared" si="65"/>
        <v>38.6</v>
      </c>
      <c r="BL57" s="68">
        <f t="shared" si="66"/>
        <v>39.200000000000003</v>
      </c>
      <c r="BM57" s="68">
        <f t="shared" si="67"/>
        <v>41.7</v>
      </c>
      <c r="BN57" s="68">
        <f t="shared" si="68"/>
        <v>35.9</v>
      </c>
      <c r="BO57" s="69">
        <f t="shared" si="69"/>
        <v>37.1</v>
      </c>
      <c r="BP57" s="63"/>
      <c r="BQ57" s="64">
        <f t="shared" si="70"/>
        <v>0.47916666666666696</v>
      </c>
      <c r="BR57" s="67">
        <f t="shared" si="71"/>
        <v>47.7</v>
      </c>
      <c r="BS57" s="68">
        <f t="shared" si="72"/>
        <v>43.6</v>
      </c>
      <c r="BT57" s="68" t="str">
        <f t="shared" si="73"/>
        <v/>
      </c>
      <c r="BU57" s="68">
        <f t="shared" si="74"/>
        <v>49</v>
      </c>
      <c r="BV57" s="68" t="str">
        <f t="shared" si="75"/>
        <v/>
      </c>
      <c r="BW57" s="68">
        <f t="shared" si="76"/>
        <v>44.8</v>
      </c>
      <c r="BX57" s="69" t="str">
        <f t="shared" si="77"/>
        <v/>
      </c>
      <c r="BY57" s="65"/>
      <c r="BZ57" s="66">
        <f t="shared" si="43"/>
        <v>38.585714285714282</v>
      </c>
      <c r="CA57" s="414">
        <f t="shared" si="31"/>
        <v>46.275000000000006</v>
      </c>
      <c r="CB57" s="416">
        <f t="shared" si="48"/>
        <v>60</v>
      </c>
      <c r="CC57" s="65"/>
      <c r="CD57" s="67">
        <f t="shared" si="78"/>
        <v>0</v>
      </c>
      <c r="CE57" s="68">
        <f t="shared" si="79"/>
        <v>0</v>
      </c>
      <c r="CF57" s="68">
        <f t="shared" si="80"/>
        <v>0</v>
      </c>
      <c r="CG57" s="68">
        <f t="shared" si="81"/>
        <v>0</v>
      </c>
      <c r="CH57" s="68">
        <f t="shared" si="82"/>
        <v>0</v>
      </c>
      <c r="CI57" s="68">
        <f t="shared" si="83"/>
        <v>0</v>
      </c>
      <c r="CJ57" s="69">
        <f t="shared" si="84"/>
        <v>0</v>
      </c>
      <c r="CM57" s="67">
        <f t="shared" si="44"/>
        <v>498</v>
      </c>
      <c r="CN57" s="68">
        <f t="shared" si="49"/>
        <v>685.9</v>
      </c>
      <c r="CO57" s="68">
        <f t="shared" si="50"/>
        <v>347.40000000000003</v>
      </c>
      <c r="CP57" s="68">
        <f t="shared" si="51"/>
        <v>588</v>
      </c>
      <c r="CQ57" s="68">
        <f t="shared" si="52"/>
        <v>375.3</v>
      </c>
      <c r="CR57" s="68">
        <f t="shared" si="53"/>
        <v>430.79999999999995</v>
      </c>
      <c r="CS57" s="69">
        <f t="shared" si="54"/>
        <v>333.90000000000003</v>
      </c>
      <c r="CU57" s="511">
        <f>SUM(SUMIF($AZ$8:$BF$8, {"NON";"NEUT"}, AZ57:BF57))/config!$AC$16</f>
        <v>12.8</v>
      </c>
      <c r="CV57" s="512">
        <f t="shared" si="45"/>
        <v>0.47916666666666696</v>
      </c>
      <c r="CY57" s="67">
        <f>SUM(C61*$CY$108, C168*$CY$109, C275*$CY$110, C382*$CY$111, C489*$CY$112, C596*$CY$113, C703*$CY$114)/config!$AC$16</f>
        <v>0</v>
      </c>
      <c r="CZ57" s="68">
        <f>SUM(SUM(D61:E61)*$CY$108, SUM(D168:E168)*$CY$109, SUM(D275:E275)*$CY$110, SUM(D382:E382)*$CY$111, SUM(D489:E489)*$CY$112, SUM(D596:E596)*$CY$113, SUM(D703:E703)*$CY$114)/config!$AC$16</f>
        <v>11</v>
      </c>
      <c r="DA57" s="68">
        <f>SUM(SUM(F61:G61)*$CY$108, SUM(F168:G168)*$CY$109, SUM(F275:G275)*$CY$110, SUM(F382:G382)*$CY$111, SUM(F489:G489)*$CY$112, SUM(F596:G596)*$CY$113, SUM(F703:G703)*$CY$114)/config!$AC$16</f>
        <v>1.6</v>
      </c>
      <c r="DB57" s="68">
        <f>SUM(H61*$CY$108, H168*$CY$109, H275*$CY$110, H382*$CY$111, H489*$CY$112, H596*$CY$113, H703*$CY$114)/config!$AC$16</f>
        <v>0</v>
      </c>
      <c r="DC57" s="69">
        <f>SUM(SUM(I61:L61)*$CY$108, SUM(I168:L168)*$CY$109, SUM(I275:L275)*$CY$110, SUM(I382:L382)*$CY$111, SUM(I489:L489)*$CY$112, SUM(I596:L596)*$CY$113, SUM(I703:L703)*$CY$114)/config!$AC$16</f>
        <v>0.2</v>
      </c>
    </row>
    <row r="58" spans="1:107" ht="15" x14ac:dyDescent="0.25">
      <c r="A58" s="190" t="s">
        <v>93</v>
      </c>
      <c r="B58" s="642">
        <v>19</v>
      </c>
      <c r="C58" s="184">
        <v>0</v>
      </c>
      <c r="D58" s="184">
        <v>18</v>
      </c>
      <c r="E58" s="184">
        <v>0</v>
      </c>
      <c r="F58" s="184">
        <v>1</v>
      </c>
      <c r="G58" s="184">
        <v>0</v>
      </c>
      <c r="H58" s="184">
        <v>0</v>
      </c>
      <c r="I58" s="184">
        <v>0</v>
      </c>
      <c r="J58" s="184">
        <v>0</v>
      </c>
      <c r="K58" s="184">
        <v>0</v>
      </c>
      <c r="L58" s="184">
        <v>0</v>
      </c>
      <c r="M58" s="654" t="s">
        <v>24</v>
      </c>
      <c r="N58" s="669" t="s">
        <v>93</v>
      </c>
      <c r="O58" s="642">
        <v>0</v>
      </c>
      <c r="P58" s="184">
        <v>0</v>
      </c>
      <c r="Q58" s="184">
        <v>0</v>
      </c>
      <c r="R58" s="184">
        <v>0</v>
      </c>
      <c r="S58" s="184">
        <v>0</v>
      </c>
      <c r="T58" s="184">
        <v>4</v>
      </c>
      <c r="U58" s="184">
        <v>4</v>
      </c>
      <c r="V58" s="184">
        <v>7</v>
      </c>
      <c r="W58" s="184">
        <v>3</v>
      </c>
      <c r="X58" s="184">
        <v>1</v>
      </c>
      <c r="Y58" s="184">
        <v>0</v>
      </c>
      <c r="Z58" s="184">
        <v>0</v>
      </c>
      <c r="AA58" s="184">
        <v>0</v>
      </c>
      <c r="AB58" s="184">
        <v>0</v>
      </c>
      <c r="AC58" s="185">
        <v>41</v>
      </c>
      <c r="AD58" s="185">
        <v>46.1</v>
      </c>
      <c r="AE58" s="184">
        <v>0</v>
      </c>
      <c r="AF58" s="185">
        <v>0</v>
      </c>
      <c r="AG58" s="184">
        <v>0</v>
      </c>
      <c r="AH58" s="185">
        <v>0</v>
      </c>
      <c r="AI58" s="184">
        <v>0</v>
      </c>
      <c r="AJ58" s="643">
        <v>0</v>
      </c>
      <c r="AP58" s="401">
        <f t="shared" si="40"/>
        <v>8</v>
      </c>
      <c r="AR58" s="56">
        <f t="shared" si="41"/>
        <v>0.48958333333333365</v>
      </c>
      <c r="AS58" s="67">
        <f>SUM(C62,C169,C276,C383,C490,C597,C704)/config!$AC$13</f>
        <v>0.14285714285714285</v>
      </c>
      <c r="AT58" s="68">
        <f>SUM(D62:E62,D169:E169,D276:E276,D383:E383,D490:E490,D597:E597,D704:E704)/config!$AC$13</f>
        <v>10.714285714285714</v>
      </c>
      <c r="AU58" s="68">
        <f>SUM(F62:G62,F169:G169,F276:G276,F383:G383,F490:G490,F597:G597,F704:G704)/config!$AC$13</f>
        <v>1.2857142857142858</v>
      </c>
      <c r="AV58" s="68">
        <f>SUM(H62,H169,H276,H383,H490,H597,H704)/config!$AC$13</f>
        <v>0</v>
      </c>
      <c r="AW58" s="69">
        <f>SUM(I62:L62,I169:L169,I276:L276,I383:L383,I490:L490,I597:L597,I704:L704)/config!$AC$13</f>
        <v>0</v>
      </c>
      <c r="AY58" s="56">
        <f t="shared" si="42"/>
        <v>0.48958333333333365</v>
      </c>
      <c r="AZ58" s="70">
        <f t="shared" si="55"/>
        <v>11</v>
      </c>
      <c r="BA58" s="71">
        <f t="shared" si="56"/>
        <v>10</v>
      </c>
      <c r="BB58" s="71">
        <f t="shared" si="57"/>
        <v>7</v>
      </c>
      <c r="BC58" s="71">
        <f t="shared" si="58"/>
        <v>13</v>
      </c>
      <c r="BD58" s="71">
        <f t="shared" si="59"/>
        <v>13</v>
      </c>
      <c r="BE58" s="71">
        <f t="shared" si="60"/>
        <v>17</v>
      </c>
      <c r="BF58" s="72">
        <f t="shared" si="61"/>
        <v>14</v>
      </c>
      <c r="BG58" s="45"/>
      <c r="BH58" s="56">
        <f t="shared" si="62"/>
        <v>0.48958333333333365</v>
      </c>
      <c r="BI58" s="67">
        <f t="shared" si="63"/>
        <v>37.200000000000003</v>
      </c>
      <c r="BJ58" s="68">
        <f t="shared" si="64"/>
        <v>34.299999999999997</v>
      </c>
      <c r="BK58" s="68">
        <f t="shared" si="65"/>
        <v>41.8</v>
      </c>
      <c r="BL58" s="68">
        <f t="shared" si="66"/>
        <v>38.5</v>
      </c>
      <c r="BM58" s="68">
        <f t="shared" si="67"/>
        <v>38.6</v>
      </c>
      <c r="BN58" s="68">
        <f t="shared" si="68"/>
        <v>35.200000000000003</v>
      </c>
      <c r="BO58" s="69">
        <f t="shared" si="69"/>
        <v>42.9</v>
      </c>
      <c r="BP58" s="63"/>
      <c r="BQ58" s="64">
        <f t="shared" si="70"/>
        <v>0.48958333333333365</v>
      </c>
      <c r="BR58" s="67">
        <f t="shared" si="71"/>
        <v>45.4</v>
      </c>
      <c r="BS58" s="68" t="str">
        <f t="shared" si="72"/>
        <v/>
      </c>
      <c r="BT58" s="68" t="str">
        <f t="shared" si="73"/>
        <v/>
      </c>
      <c r="BU58" s="68">
        <f t="shared" si="74"/>
        <v>45.1</v>
      </c>
      <c r="BV58" s="68">
        <f t="shared" si="75"/>
        <v>44.5</v>
      </c>
      <c r="BW58" s="68">
        <f t="shared" si="76"/>
        <v>40.5</v>
      </c>
      <c r="BX58" s="69">
        <f t="shared" si="77"/>
        <v>50.7</v>
      </c>
      <c r="BY58" s="65"/>
      <c r="BZ58" s="66">
        <f t="shared" si="43"/>
        <v>38.357142857142854</v>
      </c>
      <c r="CA58" s="414">
        <f t="shared" si="31"/>
        <v>45.239999999999995</v>
      </c>
      <c r="CB58" s="416">
        <f t="shared" si="48"/>
        <v>60</v>
      </c>
      <c r="CC58" s="65"/>
      <c r="CD58" s="67">
        <f t="shared" si="78"/>
        <v>0</v>
      </c>
      <c r="CE58" s="68">
        <f t="shared" si="79"/>
        <v>0</v>
      </c>
      <c r="CF58" s="68">
        <f t="shared" si="80"/>
        <v>0</v>
      </c>
      <c r="CG58" s="68">
        <f t="shared" si="81"/>
        <v>0</v>
      </c>
      <c r="CH58" s="68">
        <f t="shared" si="82"/>
        <v>0</v>
      </c>
      <c r="CI58" s="68">
        <f t="shared" si="83"/>
        <v>0</v>
      </c>
      <c r="CJ58" s="69">
        <f t="shared" si="84"/>
        <v>0</v>
      </c>
      <c r="CM58" s="67">
        <f t="shared" si="44"/>
        <v>409.20000000000005</v>
      </c>
      <c r="CN58" s="68">
        <f t="shared" si="49"/>
        <v>343</v>
      </c>
      <c r="CO58" s="68">
        <f t="shared" si="50"/>
        <v>292.59999999999997</v>
      </c>
      <c r="CP58" s="68">
        <f t="shared" si="51"/>
        <v>500.5</v>
      </c>
      <c r="CQ58" s="68">
        <f t="shared" si="52"/>
        <v>501.8</v>
      </c>
      <c r="CR58" s="68">
        <f t="shared" si="53"/>
        <v>598.40000000000009</v>
      </c>
      <c r="CS58" s="69">
        <f t="shared" si="54"/>
        <v>600.6</v>
      </c>
      <c r="CU58" s="511">
        <f>SUM(SUMIF($AZ$8:$BF$8, {"NON";"NEUT"}, AZ58:BF58))/config!$AC$16</f>
        <v>11</v>
      </c>
      <c r="CV58" s="512">
        <f t="shared" si="45"/>
        <v>0.48958333333333365</v>
      </c>
      <c r="CY58" s="67">
        <f>SUM(C62*$CY$108, C169*$CY$109, C276*$CY$110, C383*$CY$111, C490*$CY$112, C597*$CY$113, C704*$CY$114)/config!$AC$16</f>
        <v>0.2</v>
      </c>
      <c r="CZ58" s="68">
        <f>SUM(SUM(D62:E62)*$CY$108, SUM(D169:E169)*$CY$109, SUM(D276:E276)*$CY$110, SUM(D383:E383)*$CY$111, SUM(D490:E490)*$CY$112, SUM(D597:E597)*$CY$113, SUM(D704:E704)*$CY$114)/config!$AC$16</f>
        <v>9.1999999999999993</v>
      </c>
      <c r="DA58" s="68">
        <f>SUM(SUM(F62:G62)*$CY$108, SUM(F169:G169)*$CY$109, SUM(F276:G276)*$CY$110, SUM(F383:G383)*$CY$111, SUM(F490:G490)*$CY$112, SUM(F597:G597)*$CY$113, SUM(F704:G704)*$CY$114)/config!$AC$16</f>
        <v>1.6</v>
      </c>
      <c r="DB58" s="68">
        <f>SUM(H62*$CY$108, H169*$CY$109, H276*$CY$110, H383*$CY$111, H490*$CY$112, H597*$CY$113, H704*$CY$114)/config!$AC$16</f>
        <v>0</v>
      </c>
      <c r="DC58" s="69">
        <f>SUM(SUM(I62:L62)*$CY$108, SUM(I169:L169)*$CY$109, SUM(I276:L276)*$CY$110, SUM(I383:L383)*$CY$111, SUM(I490:L490)*$CY$112, SUM(I597:L597)*$CY$113, SUM(I704:L704)*$CY$114)/config!$AC$16</f>
        <v>0</v>
      </c>
    </row>
    <row r="59" spans="1:107" ht="15" x14ac:dyDescent="0.25">
      <c r="A59" s="190" t="s">
        <v>57</v>
      </c>
      <c r="B59" s="642">
        <v>4</v>
      </c>
      <c r="C59" s="184">
        <v>0</v>
      </c>
      <c r="D59" s="184">
        <v>3</v>
      </c>
      <c r="E59" s="184">
        <v>0</v>
      </c>
      <c r="F59" s="184">
        <v>1</v>
      </c>
      <c r="G59" s="184">
        <v>0</v>
      </c>
      <c r="H59" s="184">
        <v>0</v>
      </c>
      <c r="I59" s="184">
        <v>0</v>
      </c>
      <c r="J59" s="184">
        <v>0</v>
      </c>
      <c r="K59" s="184">
        <v>0</v>
      </c>
      <c r="L59" s="184">
        <v>0</v>
      </c>
      <c r="M59" s="654" t="s">
        <v>24</v>
      </c>
      <c r="N59" s="669" t="s">
        <v>57</v>
      </c>
      <c r="O59" s="642">
        <v>0</v>
      </c>
      <c r="P59" s="184">
        <v>0</v>
      </c>
      <c r="Q59" s="184">
        <v>0</v>
      </c>
      <c r="R59" s="184">
        <v>0</v>
      </c>
      <c r="S59" s="184">
        <v>0</v>
      </c>
      <c r="T59" s="184">
        <v>2</v>
      </c>
      <c r="U59" s="184">
        <v>0</v>
      </c>
      <c r="V59" s="184">
        <v>1</v>
      </c>
      <c r="W59" s="184">
        <v>0</v>
      </c>
      <c r="X59" s="184">
        <v>1</v>
      </c>
      <c r="Y59" s="184">
        <v>0</v>
      </c>
      <c r="Z59" s="184">
        <v>0</v>
      </c>
      <c r="AA59" s="184">
        <v>0</v>
      </c>
      <c r="AB59" s="184">
        <v>0</v>
      </c>
      <c r="AC59" s="185">
        <v>39.799999999999997</v>
      </c>
      <c r="AD59" s="185" t="s">
        <v>24</v>
      </c>
      <c r="AE59" s="184">
        <v>0</v>
      </c>
      <c r="AF59" s="185">
        <v>0</v>
      </c>
      <c r="AG59" s="184">
        <v>0</v>
      </c>
      <c r="AH59" s="185">
        <v>0</v>
      </c>
      <c r="AI59" s="184">
        <v>0</v>
      </c>
      <c r="AJ59" s="643">
        <v>0</v>
      </c>
      <c r="AP59" s="401">
        <f t="shared" si="40"/>
        <v>8</v>
      </c>
      <c r="AR59" s="56">
        <f t="shared" si="41"/>
        <v>0.50000000000000033</v>
      </c>
      <c r="AS59" s="67">
        <f>SUM(C63,C170,C277,C384,C491,C598,C705)/config!$AC$13</f>
        <v>0.2857142857142857</v>
      </c>
      <c r="AT59" s="68">
        <f>SUM(D63:E63,D170:E170,D277:E277,D384:E384,D491:E491,D598:E598,D705:E705)/config!$AC$13</f>
        <v>11.571428571428571</v>
      </c>
      <c r="AU59" s="68">
        <f>SUM(F63:G63,F170:G170,F277:G277,F384:G384,F491:G491,F598:G598,F705:G705)/config!$AC$13</f>
        <v>1.2857142857142858</v>
      </c>
      <c r="AV59" s="68">
        <f>SUM(H63,H170,H277,H384,H491,H598,H705)/config!$AC$13</f>
        <v>0</v>
      </c>
      <c r="AW59" s="69">
        <f>SUM(I63:L63,I170:L170,I277:L277,I384:L384,I491:L491,I598:L598,I705:L705)/config!$AC$13</f>
        <v>0.2857142857142857</v>
      </c>
      <c r="AY59" s="56">
        <f t="shared" si="42"/>
        <v>0.50000000000000033</v>
      </c>
      <c r="AZ59" s="70">
        <f t="shared" si="55"/>
        <v>7</v>
      </c>
      <c r="BA59" s="71">
        <f t="shared" si="56"/>
        <v>10</v>
      </c>
      <c r="BB59" s="71">
        <f t="shared" si="57"/>
        <v>10</v>
      </c>
      <c r="BC59" s="71">
        <f t="shared" si="58"/>
        <v>14</v>
      </c>
      <c r="BD59" s="71">
        <f t="shared" si="59"/>
        <v>13</v>
      </c>
      <c r="BE59" s="71">
        <f t="shared" si="60"/>
        <v>25</v>
      </c>
      <c r="BF59" s="72">
        <f t="shared" si="61"/>
        <v>15</v>
      </c>
      <c r="BG59" s="45"/>
      <c r="BH59" s="56">
        <f t="shared" si="62"/>
        <v>0.50000000000000033</v>
      </c>
      <c r="BI59" s="67">
        <f t="shared" si="63"/>
        <v>41.4</v>
      </c>
      <c r="BJ59" s="68">
        <f t="shared" si="64"/>
        <v>36.4</v>
      </c>
      <c r="BK59" s="68">
        <f t="shared" si="65"/>
        <v>31.6</v>
      </c>
      <c r="BL59" s="68">
        <f t="shared" si="66"/>
        <v>39.700000000000003</v>
      </c>
      <c r="BM59" s="68">
        <f t="shared" si="67"/>
        <v>39.299999999999997</v>
      </c>
      <c r="BN59" s="68">
        <f t="shared" si="68"/>
        <v>37.5</v>
      </c>
      <c r="BO59" s="69">
        <f t="shared" si="69"/>
        <v>42.7</v>
      </c>
      <c r="BP59" s="63"/>
      <c r="BQ59" s="64">
        <f t="shared" si="70"/>
        <v>0.50000000000000033</v>
      </c>
      <c r="BR59" s="67" t="str">
        <f t="shared" si="71"/>
        <v/>
      </c>
      <c r="BS59" s="68" t="str">
        <f t="shared" si="72"/>
        <v/>
      </c>
      <c r="BT59" s="68" t="str">
        <f t="shared" si="73"/>
        <v/>
      </c>
      <c r="BU59" s="68">
        <f t="shared" si="74"/>
        <v>55</v>
      </c>
      <c r="BV59" s="68">
        <f t="shared" si="75"/>
        <v>48.8</v>
      </c>
      <c r="BW59" s="68">
        <f t="shared" si="76"/>
        <v>46.2</v>
      </c>
      <c r="BX59" s="69">
        <f t="shared" si="77"/>
        <v>47.7</v>
      </c>
      <c r="BY59" s="65"/>
      <c r="BZ59" s="66">
        <f t="shared" si="43"/>
        <v>38.371428571428574</v>
      </c>
      <c r="CA59" s="414">
        <f t="shared" si="31"/>
        <v>49.424999999999997</v>
      </c>
      <c r="CB59" s="416">
        <f t="shared" si="48"/>
        <v>60</v>
      </c>
      <c r="CC59" s="65"/>
      <c r="CD59" s="67">
        <f t="shared" si="78"/>
        <v>0</v>
      </c>
      <c r="CE59" s="68">
        <f t="shared" si="79"/>
        <v>0</v>
      </c>
      <c r="CF59" s="68">
        <f t="shared" si="80"/>
        <v>0</v>
      </c>
      <c r="CG59" s="68">
        <f t="shared" si="81"/>
        <v>0</v>
      </c>
      <c r="CH59" s="68">
        <f t="shared" si="82"/>
        <v>0</v>
      </c>
      <c r="CI59" s="68">
        <f t="shared" si="83"/>
        <v>0</v>
      </c>
      <c r="CJ59" s="69">
        <f t="shared" si="84"/>
        <v>0</v>
      </c>
      <c r="CM59" s="67">
        <f t="shared" si="44"/>
        <v>289.8</v>
      </c>
      <c r="CN59" s="68">
        <f t="shared" si="49"/>
        <v>364</v>
      </c>
      <c r="CO59" s="68">
        <f t="shared" si="50"/>
        <v>316</v>
      </c>
      <c r="CP59" s="68">
        <f t="shared" si="51"/>
        <v>555.80000000000007</v>
      </c>
      <c r="CQ59" s="68">
        <f t="shared" si="52"/>
        <v>510.9</v>
      </c>
      <c r="CR59" s="68">
        <f t="shared" si="53"/>
        <v>937.5</v>
      </c>
      <c r="CS59" s="69">
        <f t="shared" si="54"/>
        <v>640.5</v>
      </c>
      <c r="CU59" s="511">
        <f>SUM(SUMIF($AZ$8:$BF$8, {"NON";"NEUT"}, AZ59:BF59))/config!$AC$16</f>
        <v>11.2</v>
      </c>
      <c r="CV59" s="512">
        <f t="shared" si="45"/>
        <v>0.50000000000000033</v>
      </c>
      <c r="CY59" s="67">
        <f>SUM(C63*$CY$108, C170*$CY$109, C277*$CY$110, C384*$CY$111, C491*$CY$112, C598*$CY$113, C705*$CY$114)/config!$AC$16</f>
        <v>0.2</v>
      </c>
      <c r="CZ59" s="68">
        <f>SUM(SUM(D63:E63)*$CY$108, SUM(D170:E170)*$CY$109, SUM(D277:E277)*$CY$110, SUM(D384:E384)*$CY$111, SUM(D491:E491)*$CY$112, SUM(D598:E598)*$CY$113, SUM(D705:E705)*$CY$114)/config!$AC$16</f>
        <v>9.4</v>
      </c>
      <c r="DA59" s="68">
        <f>SUM(SUM(F63:G63)*$CY$108, SUM(F170:G170)*$CY$109, SUM(F277:G277)*$CY$110, SUM(F384:G384)*$CY$111, SUM(F491:G491)*$CY$112, SUM(F598:G598)*$CY$113, SUM(F705:G705)*$CY$114)/config!$AC$16</f>
        <v>1.4</v>
      </c>
      <c r="DB59" s="68">
        <f>SUM(H63*$CY$108, H170*$CY$109, H277*$CY$110, H384*$CY$111, H491*$CY$112, H598*$CY$113, H705*$CY$114)/config!$AC$16</f>
        <v>0</v>
      </c>
      <c r="DC59" s="69">
        <f>SUM(SUM(I63:L63)*$CY$108, SUM(I170:L170)*$CY$109, SUM(I277:L277)*$CY$110, SUM(I384:L384)*$CY$111, SUM(I491:L491)*$CY$112, SUM(I598:L598)*$CY$113, SUM(I705:L705)*$CY$114)/config!$AC$16</f>
        <v>0.2</v>
      </c>
    </row>
    <row r="60" spans="1:107" ht="15" x14ac:dyDescent="0.25">
      <c r="A60" s="190" t="s">
        <v>94</v>
      </c>
      <c r="B60" s="642">
        <v>6</v>
      </c>
      <c r="C60" s="184">
        <v>1</v>
      </c>
      <c r="D60" s="184">
        <v>4</v>
      </c>
      <c r="E60" s="184">
        <v>0</v>
      </c>
      <c r="F60" s="184">
        <v>1</v>
      </c>
      <c r="G60" s="184">
        <v>0</v>
      </c>
      <c r="H60" s="184">
        <v>0</v>
      </c>
      <c r="I60" s="184">
        <v>0</v>
      </c>
      <c r="J60" s="184">
        <v>0</v>
      </c>
      <c r="K60" s="184">
        <v>0</v>
      </c>
      <c r="L60" s="184">
        <v>0</v>
      </c>
      <c r="M60" s="654" t="s">
        <v>24</v>
      </c>
      <c r="N60" s="669" t="s">
        <v>94</v>
      </c>
      <c r="O60" s="642">
        <v>0</v>
      </c>
      <c r="P60" s="184">
        <v>0</v>
      </c>
      <c r="Q60" s="184">
        <v>0</v>
      </c>
      <c r="R60" s="184">
        <v>1</v>
      </c>
      <c r="S60" s="184">
        <v>0</v>
      </c>
      <c r="T60" s="184">
        <v>0</v>
      </c>
      <c r="U60" s="184">
        <v>4</v>
      </c>
      <c r="V60" s="184">
        <v>0</v>
      </c>
      <c r="W60" s="184">
        <v>1</v>
      </c>
      <c r="X60" s="184">
        <v>0</v>
      </c>
      <c r="Y60" s="184">
        <v>0</v>
      </c>
      <c r="Z60" s="184">
        <v>0</v>
      </c>
      <c r="AA60" s="184">
        <v>0</v>
      </c>
      <c r="AB60" s="184">
        <v>0</v>
      </c>
      <c r="AC60" s="185">
        <v>37.6</v>
      </c>
      <c r="AD60" s="185" t="s">
        <v>24</v>
      </c>
      <c r="AE60" s="184">
        <v>0</v>
      </c>
      <c r="AF60" s="185">
        <v>0</v>
      </c>
      <c r="AG60" s="184">
        <v>0</v>
      </c>
      <c r="AH60" s="185">
        <v>0</v>
      </c>
      <c r="AI60" s="184">
        <v>0</v>
      </c>
      <c r="AJ60" s="643">
        <v>0</v>
      </c>
      <c r="AP60" s="401">
        <f t="shared" si="40"/>
        <v>7</v>
      </c>
      <c r="AR60" s="56">
        <f t="shared" si="41"/>
        <v>0.51041666666666696</v>
      </c>
      <c r="AS60" s="67">
        <f>SUM(C64,C171,C278,C385,C492,C599,C706)/config!$AC$13</f>
        <v>0.7142857142857143</v>
      </c>
      <c r="AT60" s="68">
        <f>SUM(D64:E64,D171:E171,D278:E278,D385:E385,D492:E492,D599:E599,D706:E706)/config!$AC$13</f>
        <v>9.5714285714285712</v>
      </c>
      <c r="AU60" s="68">
        <f>SUM(F64:G64,F171:G171,F278:G278,F385:G385,F492:G492,F599:G599,F706:G706)/config!$AC$13</f>
        <v>1.1428571428571428</v>
      </c>
      <c r="AV60" s="68">
        <f>SUM(H64,H171,H278,H385,H492,H599,H706)/config!$AC$13</f>
        <v>0</v>
      </c>
      <c r="AW60" s="69">
        <f>SUM(I64:L64,I171:L171,I278:L278,I385:L385,I492:L492,I599:L599,I706:L706)/config!$AC$13</f>
        <v>0.14285714285714285</v>
      </c>
      <c r="AY60" s="56">
        <f t="shared" si="42"/>
        <v>0.51041666666666696</v>
      </c>
      <c r="AZ60" s="70">
        <f t="shared" si="55"/>
        <v>9</v>
      </c>
      <c r="BA60" s="71">
        <f t="shared" si="56"/>
        <v>12</v>
      </c>
      <c r="BB60" s="71">
        <f t="shared" si="57"/>
        <v>11</v>
      </c>
      <c r="BC60" s="71">
        <f t="shared" si="58"/>
        <v>13</v>
      </c>
      <c r="BD60" s="71">
        <f t="shared" si="59"/>
        <v>9</v>
      </c>
      <c r="BE60" s="71">
        <f t="shared" si="60"/>
        <v>18</v>
      </c>
      <c r="BF60" s="72">
        <f t="shared" si="61"/>
        <v>9</v>
      </c>
      <c r="BG60" s="45"/>
      <c r="BH60" s="56">
        <f t="shared" si="62"/>
        <v>0.51041666666666696</v>
      </c>
      <c r="BI60" s="67">
        <f t="shared" si="63"/>
        <v>37.200000000000003</v>
      </c>
      <c r="BJ60" s="68">
        <f t="shared" si="64"/>
        <v>35.6</v>
      </c>
      <c r="BK60" s="68">
        <f t="shared" si="65"/>
        <v>34.6</v>
      </c>
      <c r="BL60" s="68">
        <f t="shared" si="66"/>
        <v>44.9</v>
      </c>
      <c r="BM60" s="68">
        <f t="shared" si="67"/>
        <v>38.4</v>
      </c>
      <c r="BN60" s="68">
        <f t="shared" si="68"/>
        <v>36.1</v>
      </c>
      <c r="BO60" s="69">
        <f t="shared" si="69"/>
        <v>41</v>
      </c>
      <c r="BP60" s="63"/>
      <c r="BQ60" s="64">
        <f t="shared" si="70"/>
        <v>0.51041666666666696</v>
      </c>
      <c r="BR60" s="67" t="str">
        <f t="shared" si="71"/>
        <v/>
      </c>
      <c r="BS60" s="68">
        <f t="shared" si="72"/>
        <v>45.1</v>
      </c>
      <c r="BT60" s="68">
        <f t="shared" si="73"/>
        <v>43.3</v>
      </c>
      <c r="BU60" s="68">
        <f t="shared" si="74"/>
        <v>51.4</v>
      </c>
      <c r="BV60" s="68" t="str">
        <f t="shared" si="75"/>
        <v/>
      </c>
      <c r="BW60" s="68">
        <f t="shared" si="76"/>
        <v>46.2</v>
      </c>
      <c r="BX60" s="69" t="str">
        <f t="shared" si="77"/>
        <v/>
      </c>
      <c r="BY60" s="65"/>
      <c r="BZ60" s="66">
        <f t="shared" si="43"/>
        <v>38.25714285714286</v>
      </c>
      <c r="CA60" s="414">
        <f t="shared" si="31"/>
        <v>46.5</v>
      </c>
      <c r="CB60" s="416">
        <f t="shared" si="48"/>
        <v>60</v>
      </c>
      <c r="CC60" s="65"/>
      <c r="CD60" s="67">
        <f t="shared" si="78"/>
        <v>0</v>
      </c>
      <c r="CE60" s="68">
        <f t="shared" si="79"/>
        <v>0</v>
      </c>
      <c r="CF60" s="68">
        <f t="shared" si="80"/>
        <v>0</v>
      </c>
      <c r="CG60" s="68">
        <f t="shared" si="81"/>
        <v>1</v>
      </c>
      <c r="CH60" s="68">
        <f t="shared" si="82"/>
        <v>0</v>
      </c>
      <c r="CI60" s="68">
        <f t="shared" si="83"/>
        <v>0</v>
      </c>
      <c r="CJ60" s="69">
        <f t="shared" si="84"/>
        <v>0</v>
      </c>
      <c r="CM60" s="67">
        <f t="shared" si="44"/>
        <v>334.8</v>
      </c>
      <c r="CN60" s="68">
        <f t="shared" si="49"/>
        <v>427.20000000000005</v>
      </c>
      <c r="CO60" s="68">
        <f t="shared" si="50"/>
        <v>380.6</v>
      </c>
      <c r="CP60" s="68">
        <f t="shared" si="51"/>
        <v>583.69999999999993</v>
      </c>
      <c r="CQ60" s="68">
        <f t="shared" si="52"/>
        <v>345.59999999999997</v>
      </c>
      <c r="CR60" s="68">
        <f t="shared" si="53"/>
        <v>649.80000000000007</v>
      </c>
      <c r="CS60" s="69">
        <f t="shared" si="54"/>
        <v>369</v>
      </c>
      <c r="CU60" s="511">
        <f>SUM(SUMIF($AZ$8:$BF$8, {"NON";"NEUT"}, AZ60:BF60))/config!$AC$16</f>
        <v>10.8</v>
      </c>
      <c r="CV60" s="512">
        <f t="shared" si="45"/>
        <v>0.51041666666666696</v>
      </c>
      <c r="CY60" s="67">
        <f>SUM(C64*$CY$108, C171*$CY$109, C278*$CY$110, C385*$CY$111, C492*$CY$112, C599*$CY$113, C706*$CY$114)/config!$AC$16</f>
        <v>0.8</v>
      </c>
      <c r="CZ60" s="68">
        <f>SUM(SUM(D64:E64)*$CY$108, SUM(D171:E171)*$CY$109, SUM(D278:E278)*$CY$110, SUM(D385:E385)*$CY$111, SUM(D492:E492)*$CY$112, SUM(D599:E599)*$CY$113, SUM(D706:E706)*$CY$114)/config!$AC$16</f>
        <v>8.6</v>
      </c>
      <c r="DA60" s="68">
        <f>SUM(SUM(F64:G64)*$CY$108, SUM(F171:G171)*$CY$109, SUM(F278:G278)*$CY$110, SUM(F385:G385)*$CY$111, SUM(F492:G492)*$CY$112, SUM(F599:G599)*$CY$113, SUM(F706:G706)*$CY$114)/config!$AC$16</f>
        <v>1.2</v>
      </c>
      <c r="DB60" s="68">
        <f>SUM(H64*$CY$108, H171*$CY$109, H278*$CY$110, H385*$CY$111, H492*$CY$112, H599*$CY$113, H706*$CY$114)/config!$AC$16</f>
        <v>0</v>
      </c>
      <c r="DC60" s="69">
        <f>SUM(SUM(I64:L64)*$CY$108, SUM(I171:L171)*$CY$109, SUM(I278:L278)*$CY$110, SUM(I385:L385)*$CY$111, SUM(I492:L492)*$CY$112, SUM(I599:L599)*$CY$113, SUM(I706:L706)*$CY$114)/config!$AC$16</f>
        <v>0.2</v>
      </c>
    </row>
    <row r="61" spans="1:107" ht="15" x14ac:dyDescent="0.25">
      <c r="A61" s="190" t="s">
        <v>95</v>
      </c>
      <c r="B61" s="642">
        <v>12</v>
      </c>
      <c r="C61" s="184">
        <v>0</v>
      </c>
      <c r="D61" s="184">
        <v>10</v>
      </c>
      <c r="E61" s="184">
        <v>0</v>
      </c>
      <c r="F61" s="184">
        <v>2</v>
      </c>
      <c r="G61" s="184">
        <v>0</v>
      </c>
      <c r="H61" s="184">
        <v>0</v>
      </c>
      <c r="I61" s="184">
        <v>0</v>
      </c>
      <c r="J61" s="184">
        <v>0</v>
      </c>
      <c r="K61" s="184">
        <v>0</v>
      </c>
      <c r="L61" s="184">
        <v>0</v>
      </c>
      <c r="M61" s="654" t="s">
        <v>24</v>
      </c>
      <c r="N61" s="669" t="s">
        <v>95</v>
      </c>
      <c r="O61" s="642">
        <v>0</v>
      </c>
      <c r="P61" s="184">
        <v>0</v>
      </c>
      <c r="Q61" s="184">
        <v>0</v>
      </c>
      <c r="R61" s="184">
        <v>0</v>
      </c>
      <c r="S61" s="184">
        <v>0</v>
      </c>
      <c r="T61" s="184">
        <v>2</v>
      </c>
      <c r="U61" s="184">
        <v>2</v>
      </c>
      <c r="V61" s="184">
        <v>4</v>
      </c>
      <c r="W61" s="184">
        <v>3</v>
      </c>
      <c r="X61" s="184">
        <v>1</v>
      </c>
      <c r="Y61" s="184">
        <v>0</v>
      </c>
      <c r="Z61" s="184">
        <v>0</v>
      </c>
      <c r="AA61" s="184">
        <v>0</v>
      </c>
      <c r="AB61" s="184">
        <v>0</v>
      </c>
      <c r="AC61" s="185">
        <v>41.5</v>
      </c>
      <c r="AD61" s="185">
        <v>47.7</v>
      </c>
      <c r="AE61" s="184">
        <v>0</v>
      </c>
      <c r="AF61" s="185">
        <v>0</v>
      </c>
      <c r="AG61" s="184">
        <v>0</v>
      </c>
      <c r="AH61" s="185">
        <v>0</v>
      </c>
      <c r="AI61" s="184">
        <v>0</v>
      </c>
      <c r="AJ61" s="643">
        <v>0</v>
      </c>
      <c r="AP61" s="401">
        <f t="shared" si="40"/>
        <v>7</v>
      </c>
      <c r="AR61" s="56">
        <f t="shared" si="41"/>
        <v>0.52083333333333359</v>
      </c>
      <c r="AS61" s="67">
        <f>SUM(C65,C172,C279,C386,C493,C600,C707)/config!$AC$13</f>
        <v>0.14285714285714285</v>
      </c>
      <c r="AT61" s="68">
        <f>SUM(D65:E65,D172:E172,D279:E279,D386:E386,D493:E493,D600:E600,D707:E707)/config!$AC$13</f>
        <v>11.571428571428571</v>
      </c>
      <c r="AU61" s="68">
        <f>SUM(F65:G65,F172:G172,F279:G279,F386:G386,F493:G493,F600:G600,F707:G707)/config!$AC$13</f>
        <v>1.1428571428571428</v>
      </c>
      <c r="AV61" s="68">
        <f>SUM(H65,H172,H279,H386,H493,H600,H707)/config!$AC$13</f>
        <v>0</v>
      </c>
      <c r="AW61" s="69">
        <f>SUM(I65:L65,I172:L172,I279:L279,I386:L386,I493:L493,I600:L600,I707:L707)/config!$AC$13</f>
        <v>0.14285714285714285</v>
      </c>
      <c r="AY61" s="56">
        <f t="shared" si="42"/>
        <v>0.52083333333333359</v>
      </c>
      <c r="AZ61" s="70">
        <f t="shared" si="55"/>
        <v>11</v>
      </c>
      <c r="BA61" s="71">
        <f t="shared" si="56"/>
        <v>12</v>
      </c>
      <c r="BB61" s="71">
        <f t="shared" si="57"/>
        <v>9</v>
      </c>
      <c r="BC61" s="71">
        <f t="shared" si="58"/>
        <v>14</v>
      </c>
      <c r="BD61" s="71">
        <f t="shared" si="59"/>
        <v>14</v>
      </c>
      <c r="BE61" s="71">
        <f t="shared" si="60"/>
        <v>19</v>
      </c>
      <c r="BF61" s="72">
        <f t="shared" si="61"/>
        <v>12</v>
      </c>
      <c r="BG61" s="45"/>
      <c r="BH61" s="56">
        <f t="shared" si="62"/>
        <v>0.52083333333333359</v>
      </c>
      <c r="BI61" s="67">
        <f t="shared" si="63"/>
        <v>40</v>
      </c>
      <c r="BJ61" s="68">
        <f t="shared" si="64"/>
        <v>33.200000000000003</v>
      </c>
      <c r="BK61" s="68">
        <f t="shared" si="65"/>
        <v>36.6</v>
      </c>
      <c r="BL61" s="68">
        <f t="shared" si="66"/>
        <v>40.200000000000003</v>
      </c>
      <c r="BM61" s="68">
        <f t="shared" si="67"/>
        <v>42.1</v>
      </c>
      <c r="BN61" s="68">
        <f t="shared" si="68"/>
        <v>40.9</v>
      </c>
      <c r="BO61" s="69">
        <f t="shared" si="69"/>
        <v>40.9</v>
      </c>
      <c r="BP61" s="63"/>
      <c r="BQ61" s="64">
        <f t="shared" si="70"/>
        <v>0.52083333333333359</v>
      </c>
      <c r="BR61" s="67">
        <f t="shared" si="71"/>
        <v>48.5</v>
      </c>
      <c r="BS61" s="68">
        <f t="shared" si="72"/>
        <v>41.3</v>
      </c>
      <c r="BT61" s="68" t="str">
        <f t="shared" si="73"/>
        <v/>
      </c>
      <c r="BU61" s="68">
        <f t="shared" si="74"/>
        <v>53.1</v>
      </c>
      <c r="BV61" s="68">
        <f t="shared" si="75"/>
        <v>50.4</v>
      </c>
      <c r="BW61" s="68">
        <f t="shared" si="76"/>
        <v>48.5</v>
      </c>
      <c r="BX61" s="69">
        <f t="shared" si="77"/>
        <v>48.9</v>
      </c>
      <c r="BY61" s="65"/>
      <c r="BZ61" s="66">
        <f t="shared" si="43"/>
        <v>39.128571428571426</v>
      </c>
      <c r="CA61" s="414">
        <f t="shared" si="31"/>
        <v>48.449999999999996</v>
      </c>
      <c r="CB61" s="416">
        <f t="shared" si="48"/>
        <v>60</v>
      </c>
      <c r="CC61" s="65"/>
      <c r="CD61" s="67">
        <f t="shared" si="78"/>
        <v>1</v>
      </c>
      <c r="CE61" s="68">
        <f t="shared" si="79"/>
        <v>0</v>
      </c>
      <c r="CF61" s="68">
        <f t="shared" si="80"/>
        <v>0</v>
      </c>
      <c r="CG61" s="68">
        <f t="shared" si="81"/>
        <v>0</v>
      </c>
      <c r="CH61" s="68">
        <f t="shared" si="82"/>
        <v>0</v>
      </c>
      <c r="CI61" s="68">
        <f t="shared" si="83"/>
        <v>0</v>
      </c>
      <c r="CJ61" s="69">
        <f t="shared" si="84"/>
        <v>0</v>
      </c>
      <c r="CM61" s="67">
        <f t="shared" si="44"/>
        <v>440</v>
      </c>
      <c r="CN61" s="68">
        <f t="shared" si="49"/>
        <v>398.40000000000003</v>
      </c>
      <c r="CO61" s="68">
        <f t="shared" si="50"/>
        <v>329.40000000000003</v>
      </c>
      <c r="CP61" s="68">
        <f t="shared" si="51"/>
        <v>562.80000000000007</v>
      </c>
      <c r="CQ61" s="68">
        <f t="shared" si="52"/>
        <v>589.4</v>
      </c>
      <c r="CR61" s="68">
        <f t="shared" si="53"/>
        <v>777.1</v>
      </c>
      <c r="CS61" s="69">
        <f t="shared" si="54"/>
        <v>490.79999999999995</v>
      </c>
      <c r="CU61" s="511">
        <f>SUM(SUMIF($AZ$8:$BF$8, {"NON";"NEUT"}, AZ61:BF61))/config!$AC$16</f>
        <v>11.6</v>
      </c>
      <c r="CV61" s="512">
        <f t="shared" si="45"/>
        <v>0.52083333333333359</v>
      </c>
      <c r="CY61" s="67">
        <f>SUM(C65*$CY$108, C172*$CY$109, C279*$CY$110, C386*$CY$111, C493*$CY$112, C600*$CY$113, C707*$CY$114)/config!$AC$16</f>
        <v>0.2</v>
      </c>
      <c r="CZ61" s="68">
        <f>SUM(SUM(D65:E65)*$CY$108, SUM(D172:E172)*$CY$109, SUM(D279:E279)*$CY$110, SUM(D386:E386)*$CY$111, SUM(D493:E493)*$CY$112, SUM(D600:E600)*$CY$113, SUM(D707:E707)*$CY$114)/config!$AC$16</f>
        <v>9.6</v>
      </c>
      <c r="DA61" s="68">
        <f>SUM(SUM(F65:G65)*$CY$108, SUM(F172:G172)*$CY$109, SUM(F279:G279)*$CY$110, SUM(F386:G386)*$CY$111, SUM(F493:G493)*$CY$112, SUM(F600:G600)*$CY$113, SUM(F707:G707)*$CY$114)/config!$AC$16</f>
        <v>1.6</v>
      </c>
      <c r="DB61" s="68">
        <f>SUM(H65*$CY$108, H172*$CY$109, H279*$CY$110, H386*$CY$111, H493*$CY$112, H600*$CY$113, H707*$CY$114)/config!$AC$16</f>
        <v>0</v>
      </c>
      <c r="DC61" s="69">
        <f>SUM(SUM(I65:L65)*$CY$108, SUM(I172:L172)*$CY$109, SUM(I279:L279)*$CY$110, SUM(I386:L386)*$CY$111, SUM(I493:L493)*$CY$112, SUM(I600:L600)*$CY$113, SUM(I707:L707)*$CY$114)/config!$AC$16</f>
        <v>0.2</v>
      </c>
    </row>
    <row r="62" spans="1:107" ht="15" x14ac:dyDescent="0.25">
      <c r="A62" s="190" t="s">
        <v>96</v>
      </c>
      <c r="B62" s="642">
        <v>11</v>
      </c>
      <c r="C62" s="184">
        <v>1</v>
      </c>
      <c r="D62" s="184">
        <v>7</v>
      </c>
      <c r="E62" s="184">
        <v>0</v>
      </c>
      <c r="F62" s="184">
        <v>3</v>
      </c>
      <c r="G62" s="184">
        <v>0</v>
      </c>
      <c r="H62" s="184">
        <v>0</v>
      </c>
      <c r="I62" s="184">
        <v>0</v>
      </c>
      <c r="J62" s="184">
        <v>0</v>
      </c>
      <c r="K62" s="184">
        <v>0</v>
      </c>
      <c r="L62" s="184">
        <v>0</v>
      </c>
      <c r="M62" s="654" t="s">
        <v>24</v>
      </c>
      <c r="N62" s="669" t="s">
        <v>96</v>
      </c>
      <c r="O62" s="642">
        <v>0</v>
      </c>
      <c r="P62" s="184">
        <v>0</v>
      </c>
      <c r="Q62" s="184">
        <v>1</v>
      </c>
      <c r="R62" s="184">
        <v>0</v>
      </c>
      <c r="S62" s="184">
        <v>1</v>
      </c>
      <c r="T62" s="184">
        <v>2</v>
      </c>
      <c r="U62" s="184">
        <v>2</v>
      </c>
      <c r="V62" s="184">
        <v>4</v>
      </c>
      <c r="W62" s="184">
        <v>0</v>
      </c>
      <c r="X62" s="184">
        <v>1</v>
      </c>
      <c r="Y62" s="184">
        <v>0</v>
      </c>
      <c r="Z62" s="184">
        <v>0</v>
      </c>
      <c r="AA62" s="184">
        <v>0</v>
      </c>
      <c r="AB62" s="184">
        <v>0</v>
      </c>
      <c r="AC62" s="185">
        <v>37.200000000000003</v>
      </c>
      <c r="AD62" s="185">
        <v>45.4</v>
      </c>
      <c r="AE62" s="184">
        <v>0</v>
      </c>
      <c r="AF62" s="185">
        <v>0</v>
      </c>
      <c r="AG62" s="184">
        <v>0</v>
      </c>
      <c r="AH62" s="185">
        <v>0</v>
      </c>
      <c r="AI62" s="184">
        <v>0</v>
      </c>
      <c r="AJ62" s="643">
        <v>0</v>
      </c>
      <c r="AP62" s="401">
        <f t="shared" si="40"/>
        <v>15</v>
      </c>
      <c r="AR62" s="56">
        <f t="shared" si="41"/>
        <v>0.53125000000000022</v>
      </c>
      <c r="AS62" s="67">
        <f>SUM(C66,C173,C280,C387,C494,C601,C708)/config!$AC$13</f>
        <v>0.42857142857142855</v>
      </c>
      <c r="AT62" s="68">
        <f>SUM(D66:E66,D173:E173,D280:E280,D387:E387,D494:E494,D601:E601,D708:E708)/config!$AC$13</f>
        <v>12.428571428571429</v>
      </c>
      <c r="AU62" s="68">
        <f>SUM(F66:G66,F173:G173,F280:G280,F387:G387,F494:G494,F601:G601,F708:G708)/config!$AC$13</f>
        <v>2.1428571428571428</v>
      </c>
      <c r="AV62" s="68">
        <f>SUM(H66,H173,H280,H387,H494,H601,H708)/config!$AC$13</f>
        <v>0</v>
      </c>
      <c r="AW62" s="69">
        <f>SUM(I66:L66,I173:L173,I280:L280,I387:L387,I494:L494,I601:L601,I708:L708)/config!$AC$13</f>
        <v>0</v>
      </c>
      <c r="AY62" s="56">
        <f t="shared" si="42"/>
        <v>0.53125000000000022</v>
      </c>
      <c r="AZ62" s="70">
        <f t="shared" si="55"/>
        <v>10</v>
      </c>
      <c r="BA62" s="71">
        <f t="shared" si="56"/>
        <v>20</v>
      </c>
      <c r="BB62" s="71">
        <f t="shared" si="57"/>
        <v>9</v>
      </c>
      <c r="BC62" s="71">
        <f t="shared" si="58"/>
        <v>17</v>
      </c>
      <c r="BD62" s="71">
        <f t="shared" si="59"/>
        <v>20</v>
      </c>
      <c r="BE62" s="71">
        <f t="shared" si="60"/>
        <v>17</v>
      </c>
      <c r="BF62" s="72">
        <f t="shared" si="61"/>
        <v>12</v>
      </c>
      <c r="BG62" s="45"/>
      <c r="BH62" s="56">
        <f t="shared" si="62"/>
        <v>0.53125000000000022</v>
      </c>
      <c r="BI62" s="67">
        <f t="shared" si="63"/>
        <v>36.5</v>
      </c>
      <c r="BJ62" s="68">
        <f t="shared" si="64"/>
        <v>34</v>
      </c>
      <c r="BK62" s="68">
        <f t="shared" si="65"/>
        <v>32.200000000000003</v>
      </c>
      <c r="BL62" s="68">
        <f t="shared" si="66"/>
        <v>42.6</v>
      </c>
      <c r="BM62" s="68">
        <f t="shared" si="67"/>
        <v>36.9</v>
      </c>
      <c r="BN62" s="68">
        <f t="shared" si="68"/>
        <v>40.5</v>
      </c>
      <c r="BO62" s="69">
        <f t="shared" si="69"/>
        <v>40.9</v>
      </c>
      <c r="BP62" s="63"/>
      <c r="BQ62" s="64">
        <f t="shared" si="70"/>
        <v>0.53125000000000022</v>
      </c>
      <c r="BR62" s="67" t="str">
        <f t="shared" si="71"/>
        <v/>
      </c>
      <c r="BS62" s="68">
        <f t="shared" si="72"/>
        <v>40.200000000000003</v>
      </c>
      <c r="BT62" s="68" t="str">
        <f t="shared" si="73"/>
        <v/>
      </c>
      <c r="BU62" s="68">
        <f t="shared" si="74"/>
        <v>49.2</v>
      </c>
      <c r="BV62" s="68">
        <f t="shared" si="75"/>
        <v>44.9</v>
      </c>
      <c r="BW62" s="68">
        <f t="shared" si="76"/>
        <v>51.4</v>
      </c>
      <c r="BX62" s="69">
        <f t="shared" si="77"/>
        <v>58.2</v>
      </c>
      <c r="BY62" s="65"/>
      <c r="BZ62" s="66">
        <f t="shared" si="43"/>
        <v>37.657142857142858</v>
      </c>
      <c r="CA62" s="414">
        <f t="shared" si="31"/>
        <v>48.780000000000008</v>
      </c>
      <c r="CB62" s="416">
        <f t="shared" si="48"/>
        <v>60</v>
      </c>
      <c r="CC62" s="65"/>
      <c r="CD62" s="67">
        <f t="shared" si="78"/>
        <v>0</v>
      </c>
      <c r="CE62" s="68">
        <f t="shared" si="79"/>
        <v>0</v>
      </c>
      <c r="CF62" s="68">
        <f t="shared" si="80"/>
        <v>0</v>
      </c>
      <c r="CG62" s="68">
        <f t="shared" si="81"/>
        <v>0</v>
      </c>
      <c r="CH62" s="68">
        <f t="shared" si="82"/>
        <v>0</v>
      </c>
      <c r="CI62" s="68">
        <f t="shared" si="83"/>
        <v>0</v>
      </c>
      <c r="CJ62" s="69">
        <f t="shared" si="84"/>
        <v>0</v>
      </c>
      <c r="CM62" s="67">
        <f t="shared" si="44"/>
        <v>365</v>
      </c>
      <c r="CN62" s="68">
        <f t="shared" si="49"/>
        <v>680</v>
      </c>
      <c r="CO62" s="68">
        <f t="shared" si="50"/>
        <v>289.8</v>
      </c>
      <c r="CP62" s="68">
        <f t="shared" si="51"/>
        <v>724.2</v>
      </c>
      <c r="CQ62" s="68">
        <f t="shared" si="52"/>
        <v>738</v>
      </c>
      <c r="CR62" s="68">
        <f t="shared" si="53"/>
        <v>688.5</v>
      </c>
      <c r="CS62" s="69">
        <f t="shared" si="54"/>
        <v>490.79999999999995</v>
      </c>
      <c r="CU62" s="511">
        <f>SUM(SUMIF($AZ$8:$BF$8, {"NON";"NEUT"}, AZ62:BF62))/config!$AC$16</f>
        <v>13.6</v>
      </c>
      <c r="CV62" s="512">
        <f t="shared" si="45"/>
        <v>0.53125000000000022</v>
      </c>
      <c r="CY62" s="67">
        <f>SUM(C66*$CY$108, C173*$CY$109, C280*$CY$110, C387*$CY$111, C494*$CY$112, C601*$CY$113, C708*$CY$114)/config!$AC$16</f>
        <v>0.2</v>
      </c>
      <c r="CZ62" s="68">
        <f>SUM(SUM(D66:E66)*$CY$108, SUM(D173:E173)*$CY$109, SUM(D280:E280)*$CY$110, SUM(D387:E387)*$CY$111, SUM(D494:E494)*$CY$112, SUM(D601:E601)*$CY$113, SUM(D708:E708)*$CY$114)/config!$AC$16</f>
        <v>11.4</v>
      </c>
      <c r="DA62" s="68">
        <f>SUM(SUM(F66:G66)*$CY$108, SUM(F173:G173)*$CY$109, SUM(F280:G280)*$CY$110, SUM(F387:G387)*$CY$111, SUM(F494:G494)*$CY$112, SUM(F601:G601)*$CY$113, SUM(F708:G708)*$CY$114)/config!$AC$16</f>
        <v>2</v>
      </c>
      <c r="DB62" s="68">
        <f>SUM(H66*$CY$108, H173*$CY$109, H280*$CY$110, H387*$CY$111, H494*$CY$112, H601*$CY$113, H708*$CY$114)/config!$AC$16</f>
        <v>0</v>
      </c>
      <c r="DC62" s="69">
        <f>SUM(SUM(I66:L66)*$CY$108, SUM(I173:L173)*$CY$109, SUM(I280:L280)*$CY$110, SUM(I387:L387)*$CY$111, SUM(I494:L494)*$CY$112, SUM(I601:L601)*$CY$113, SUM(I708:L708)*$CY$114)/config!$AC$16</f>
        <v>0</v>
      </c>
    </row>
    <row r="63" spans="1:107" ht="15" x14ac:dyDescent="0.25">
      <c r="A63" s="190" t="s">
        <v>58</v>
      </c>
      <c r="B63" s="642">
        <v>7</v>
      </c>
      <c r="C63" s="184">
        <v>0</v>
      </c>
      <c r="D63" s="184">
        <v>6</v>
      </c>
      <c r="E63" s="184">
        <v>0</v>
      </c>
      <c r="F63" s="184">
        <v>1</v>
      </c>
      <c r="G63" s="184">
        <v>0</v>
      </c>
      <c r="H63" s="184">
        <v>0</v>
      </c>
      <c r="I63" s="184">
        <v>0</v>
      </c>
      <c r="J63" s="184">
        <v>0</v>
      </c>
      <c r="K63" s="184">
        <v>0</v>
      </c>
      <c r="L63" s="184">
        <v>0</v>
      </c>
      <c r="M63" s="654" t="s">
        <v>24</v>
      </c>
      <c r="N63" s="669" t="s">
        <v>58</v>
      </c>
      <c r="O63" s="642">
        <v>0</v>
      </c>
      <c r="P63" s="184">
        <v>0</v>
      </c>
      <c r="Q63" s="184">
        <v>0</v>
      </c>
      <c r="R63" s="184">
        <v>0</v>
      </c>
      <c r="S63" s="184">
        <v>0</v>
      </c>
      <c r="T63" s="184">
        <v>1</v>
      </c>
      <c r="U63" s="184">
        <v>2</v>
      </c>
      <c r="V63" s="184">
        <v>3</v>
      </c>
      <c r="W63" s="184">
        <v>0</v>
      </c>
      <c r="X63" s="184">
        <v>1</v>
      </c>
      <c r="Y63" s="184">
        <v>0</v>
      </c>
      <c r="Z63" s="184">
        <v>0</v>
      </c>
      <c r="AA63" s="184">
        <v>0</v>
      </c>
      <c r="AB63" s="184">
        <v>0</v>
      </c>
      <c r="AC63" s="185">
        <v>41.4</v>
      </c>
      <c r="AD63" s="185" t="s">
        <v>24</v>
      </c>
      <c r="AE63" s="184">
        <v>0</v>
      </c>
      <c r="AF63" s="185">
        <v>0</v>
      </c>
      <c r="AG63" s="184">
        <v>0</v>
      </c>
      <c r="AH63" s="185">
        <v>0</v>
      </c>
      <c r="AI63" s="184">
        <v>0</v>
      </c>
      <c r="AJ63" s="643">
        <v>0</v>
      </c>
      <c r="AP63" s="401">
        <f t="shared" si="40"/>
        <v>7</v>
      </c>
      <c r="AR63" s="56">
        <f t="shared" si="41"/>
        <v>0.54166666666666685</v>
      </c>
      <c r="AS63" s="67">
        <f>SUM(C67,C174,C281,C388,C495,C602,C709)/config!$AC$13</f>
        <v>0</v>
      </c>
      <c r="AT63" s="68">
        <f>SUM(D67:E67,D174:E174,D281:E281,D388:E388,D495:E495,D602:E602,D709:E709)/config!$AC$13</f>
        <v>10.285714285714286</v>
      </c>
      <c r="AU63" s="68">
        <f>SUM(F67:G67,F174:G174,F281:G281,F388:G388,F495:G495,F602:G602,F709:G709)/config!$AC$13</f>
        <v>1</v>
      </c>
      <c r="AV63" s="68">
        <f>SUM(H67,H174,H281,H388,H495,H602,H709)/config!$AC$13</f>
        <v>0</v>
      </c>
      <c r="AW63" s="69">
        <f>SUM(I67:L67,I174:L174,I281:L281,I388:L388,I495:L495,I602:L602,I709:L709)/config!$AC$13</f>
        <v>0.14285714285714285</v>
      </c>
      <c r="AY63" s="56">
        <f t="shared" si="42"/>
        <v>0.54166666666666685</v>
      </c>
      <c r="AZ63" s="70">
        <f t="shared" si="55"/>
        <v>11</v>
      </c>
      <c r="BA63" s="71">
        <f t="shared" si="56"/>
        <v>13</v>
      </c>
      <c r="BB63" s="71">
        <f t="shared" si="57"/>
        <v>7</v>
      </c>
      <c r="BC63" s="71">
        <f t="shared" si="58"/>
        <v>14</v>
      </c>
      <c r="BD63" s="71">
        <f t="shared" si="59"/>
        <v>12</v>
      </c>
      <c r="BE63" s="71">
        <f t="shared" si="60"/>
        <v>14</v>
      </c>
      <c r="BF63" s="72">
        <f t="shared" si="61"/>
        <v>9</v>
      </c>
      <c r="BG63" s="45"/>
      <c r="BH63" s="56">
        <f t="shared" si="62"/>
        <v>0.54166666666666685</v>
      </c>
      <c r="BI63" s="67">
        <f t="shared" si="63"/>
        <v>41.6</v>
      </c>
      <c r="BJ63" s="68">
        <f t="shared" si="64"/>
        <v>36.9</v>
      </c>
      <c r="BK63" s="68">
        <f t="shared" si="65"/>
        <v>34.9</v>
      </c>
      <c r="BL63" s="68">
        <f t="shared" si="66"/>
        <v>36.4</v>
      </c>
      <c r="BM63" s="68">
        <f t="shared" si="67"/>
        <v>41.5</v>
      </c>
      <c r="BN63" s="68">
        <f t="shared" si="68"/>
        <v>39.5</v>
      </c>
      <c r="BO63" s="69">
        <f t="shared" si="69"/>
        <v>38.299999999999997</v>
      </c>
      <c r="BP63" s="63"/>
      <c r="BQ63" s="64">
        <f t="shared" si="70"/>
        <v>0.54166666666666685</v>
      </c>
      <c r="BR63" s="67">
        <f t="shared" si="71"/>
        <v>52.3</v>
      </c>
      <c r="BS63" s="68">
        <f t="shared" si="72"/>
        <v>47.8</v>
      </c>
      <c r="BT63" s="68" t="str">
        <f t="shared" si="73"/>
        <v/>
      </c>
      <c r="BU63" s="68">
        <f t="shared" si="74"/>
        <v>42.6</v>
      </c>
      <c r="BV63" s="68">
        <f t="shared" si="75"/>
        <v>46.3</v>
      </c>
      <c r="BW63" s="68">
        <f t="shared" si="76"/>
        <v>44.3</v>
      </c>
      <c r="BX63" s="69" t="str">
        <f t="shared" si="77"/>
        <v/>
      </c>
      <c r="BY63" s="65"/>
      <c r="BZ63" s="66">
        <f t="shared" si="43"/>
        <v>38.442857142857143</v>
      </c>
      <c r="CA63" s="414">
        <f t="shared" si="31"/>
        <v>46.660000000000004</v>
      </c>
      <c r="CB63" s="416">
        <f t="shared" si="48"/>
        <v>60</v>
      </c>
      <c r="CC63" s="65"/>
      <c r="CD63" s="67">
        <f t="shared" si="78"/>
        <v>1</v>
      </c>
      <c r="CE63" s="68">
        <f t="shared" si="79"/>
        <v>0</v>
      </c>
      <c r="CF63" s="68">
        <f t="shared" si="80"/>
        <v>0</v>
      </c>
      <c r="CG63" s="68">
        <f t="shared" si="81"/>
        <v>0</v>
      </c>
      <c r="CH63" s="68">
        <f t="shared" si="82"/>
        <v>0</v>
      </c>
      <c r="CI63" s="68">
        <f t="shared" si="83"/>
        <v>0</v>
      </c>
      <c r="CJ63" s="69">
        <f t="shared" si="84"/>
        <v>0</v>
      </c>
      <c r="CM63" s="67">
        <f t="shared" si="44"/>
        <v>457.6</v>
      </c>
      <c r="CN63" s="68">
        <f t="shared" si="49"/>
        <v>479.7</v>
      </c>
      <c r="CO63" s="68">
        <f t="shared" si="50"/>
        <v>244.29999999999998</v>
      </c>
      <c r="CP63" s="68">
        <f t="shared" si="51"/>
        <v>509.59999999999997</v>
      </c>
      <c r="CQ63" s="68">
        <f t="shared" si="52"/>
        <v>498</v>
      </c>
      <c r="CR63" s="68">
        <f t="shared" si="53"/>
        <v>553</v>
      </c>
      <c r="CS63" s="69">
        <f t="shared" si="54"/>
        <v>344.7</v>
      </c>
      <c r="CU63" s="511">
        <f>SUM(SUMIF($AZ$8:$BF$8, {"NON";"NEUT"}, AZ63:BF63))/config!$AC$16</f>
        <v>10.8</v>
      </c>
      <c r="CV63" s="512">
        <f t="shared" si="45"/>
        <v>0.54166666666666685</v>
      </c>
      <c r="CY63" s="67">
        <f>SUM(C67*$CY$108, C174*$CY$109, C281*$CY$110, C388*$CY$111, C495*$CY$112, C602*$CY$113, C709*$CY$114)/config!$AC$16</f>
        <v>0</v>
      </c>
      <c r="CZ63" s="68">
        <f>SUM(SUM(D67:E67)*$CY$108, SUM(D174:E174)*$CY$109, SUM(D281:E281)*$CY$110, SUM(D388:E388)*$CY$111, SUM(D495:E495)*$CY$112, SUM(D602:E602)*$CY$113, SUM(D709:E709)*$CY$114)/config!$AC$16</f>
        <v>9.4</v>
      </c>
      <c r="DA63" s="68">
        <f>SUM(SUM(F67:G67)*$CY$108, SUM(F174:G174)*$CY$109, SUM(F281:G281)*$CY$110, SUM(F388:G388)*$CY$111, SUM(F495:G495)*$CY$112, SUM(F602:G602)*$CY$113, SUM(F709:G709)*$CY$114)/config!$AC$16</f>
        <v>1.2</v>
      </c>
      <c r="DB63" s="68">
        <f>SUM(H67*$CY$108, H174*$CY$109, H281*$CY$110, H388*$CY$111, H495*$CY$112, H602*$CY$113, H709*$CY$114)/config!$AC$16</f>
        <v>0</v>
      </c>
      <c r="DC63" s="69">
        <f>SUM(SUM(I67:L67)*$CY$108, SUM(I174:L174)*$CY$109, SUM(I281:L281)*$CY$110, SUM(I388:L388)*$CY$111, SUM(I495:L495)*$CY$112, SUM(I602:L602)*$CY$113, SUM(I709:L709)*$CY$114)/config!$AC$16</f>
        <v>0.2</v>
      </c>
    </row>
    <row r="64" spans="1:107" ht="15" x14ac:dyDescent="0.25">
      <c r="A64" s="190" t="s">
        <v>97</v>
      </c>
      <c r="B64" s="642">
        <v>9</v>
      </c>
      <c r="C64" s="184">
        <v>2</v>
      </c>
      <c r="D64" s="184">
        <v>5</v>
      </c>
      <c r="E64" s="184">
        <v>1</v>
      </c>
      <c r="F64" s="184">
        <v>1</v>
      </c>
      <c r="G64" s="184">
        <v>0</v>
      </c>
      <c r="H64" s="184">
        <v>0</v>
      </c>
      <c r="I64" s="184">
        <v>0</v>
      </c>
      <c r="J64" s="184">
        <v>0</v>
      </c>
      <c r="K64" s="184">
        <v>0</v>
      </c>
      <c r="L64" s="184">
        <v>0</v>
      </c>
      <c r="M64" s="654" t="s">
        <v>24</v>
      </c>
      <c r="N64" s="669" t="s">
        <v>97</v>
      </c>
      <c r="O64" s="642">
        <v>0</v>
      </c>
      <c r="P64" s="184">
        <v>1</v>
      </c>
      <c r="Q64" s="184">
        <v>1</v>
      </c>
      <c r="R64" s="184">
        <v>0</v>
      </c>
      <c r="S64" s="184">
        <v>1</v>
      </c>
      <c r="T64" s="184">
        <v>0</v>
      </c>
      <c r="U64" s="184">
        <v>2</v>
      </c>
      <c r="V64" s="184">
        <v>1</v>
      </c>
      <c r="W64" s="184">
        <v>1</v>
      </c>
      <c r="X64" s="184">
        <v>2</v>
      </c>
      <c r="Y64" s="184">
        <v>0</v>
      </c>
      <c r="Z64" s="184">
        <v>0</v>
      </c>
      <c r="AA64" s="184">
        <v>0</v>
      </c>
      <c r="AB64" s="184">
        <v>0</v>
      </c>
      <c r="AC64" s="185">
        <v>37.200000000000003</v>
      </c>
      <c r="AD64" s="185" t="s">
        <v>24</v>
      </c>
      <c r="AE64" s="184">
        <v>0</v>
      </c>
      <c r="AF64" s="185">
        <v>0</v>
      </c>
      <c r="AG64" s="184">
        <v>0</v>
      </c>
      <c r="AH64" s="185">
        <v>0</v>
      </c>
      <c r="AI64" s="184">
        <v>0</v>
      </c>
      <c r="AJ64" s="643">
        <v>0</v>
      </c>
      <c r="AP64" s="401">
        <f t="shared" si="40"/>
        <v>9</v>
      </c>
      <c r="AR64" s="56">
        <f t="shared" si="41"/>
        <v>0.55208333333333348</v>
      </c>
      <c r="AS64" s="67">
        <f>SUM(C68,C175,C282,C389,C496,C603,C710)/config!$AC$13</f>
        <v>0.14285714285714285</v>
      </c>
      <c r="AT64" s="68">
        <f>SUM(D68:E68,D175:E175,D282:E282,D389:E389,D496:E496,D603:E603,D710:E710)/config!$AC$13</f>
        <v>8.4285714285714288</v>
      </c>
      <c r="AU64" s="68">
        <f>SUM(F68:G68,F175:G175,F282:G282,F389:G389,F496:G496,F603:G603,F710:G710)/config!$AC$13</f>
        <v>1.2857142857142858</v>
      </c>
      <c r="AV64" s="68">
        <f>SUM(H68,H175,H282,H389,H496,H603,H710)/config!$AC$13</f>
        <v>0</v>
      </c>
      <c r="AW64" s="69">
        <f>SUM(I68:L68,I175:L175,I282:L282,I389:L389,I496:L496,I603:L603,I710:L710)/config!$AC$13</f>
        <v>0</v>
      </c>
      <c r="AY64" s="56">
        <f t="shared" si="42"/>
        <v>0.55208333333333348</v>
      </c>
      <c r="AZ64" s="70">
        <f t="shared" si="55"/>
        <v>7</v>
      </c>
      <c r="BA64" s="71">
        <f t="shared" si="56"/>
        <v>10</v>
      </c>
      <c r="BB64" s="71">
        <f t="shared" si="57"/>
        <v>8</v>
      </c>
      <c r="BC64" s="71">
        <f t="shared" si="58"/>
        <v>9</v>
      </c>
      <c r="BD64" s="71">
        <f t="shared" si="59"/>
        <v>9</v>
      </c>
      <c r="BE64" s="71">
        <f t="shared" si="60"/>
        <v>16</v>
      </c>
      <c r="BF64" s="72">
        <f t="shared" si="61"/>
        <v>10</v>
      </c>
      <c r="BG64" s="45"/>
      <c r="BH64" s="56">
        <f t="shared" si="62"/>
        <v>0.55208333333333348</v>
      </c>
      <c r="BI64" s="67">
        <f t="shared" si="63"/>
        <v>36.700000000000003</v>
      </c>
      <c r="BJ64" s="68">
        <f t="shared" si="64"/>
        <v>36.9</v>
      </c>
      <c r="BK64" s="68">
        <f t="shared" si="65"/>
        <v>33.1</v>
      </c>
      <c r="BL64" s="68">
        <f t="shared" si="66"/>
        <v>42.2</v>
      </c>
      <c r="BM64" s="68">
        <f t="shared" si="67"/>
        <v>43.9</v>
      </c>
      <c r="BN64" s="68">
        <f t="shared" si="68"/>
        <v>36.5</v>
      </c>
      <c r="BO64" s="69">
        <f t="shared" si="69"/>
        <v>41.3</v>
      </c>
      <c r="BP64" s="63"/>
      <c r="BQ64" s="64">
        <f t="shared" si="70"/>
        <v>0.55208333333333348</v>
      </c>
      <c r="BR64" s="67" t="str">
        <f t="shared" si="71"/>
        <v/>
      </c>
      <c r="BS64" s="68" t="str">
        <f t="shared" si="72"/>
        <v/>
      </c>
      <c r="BT64" s="68" t="str">
        <f t="shared" si="73"/>
        <v/>
      </c>
      <c r="BU64" s="68" t="str">
        <f t="shared" si="74"/>
        <v/>
      </c>
      <c r="BV64" s="68" t="str">
        <f t="shared" si="75"/>
        <v/>
      </c>
      <c r="BW64" s="68">
        <f t="shared" si="76"/>
        <v>41</v>
      </c>
      <c r="BX64" s="69" t="str">
        <f t="shared" si="77"/>
        <v/>
      </c>
      <c r="BY64" s="65"/>
      <c r="BZ64" s="66">
        <f t="shared" si="43"/>
        <v>38.657142857142851</v>
      </c>
      <c r="CA64" s="414">
        <f t="shared" si="31"/>
        <v>41</v>
      </c>
      <c r="CB64" s="416">
        <f t="shared" si="48"/>
        <v>60</v>
      </c>
      <c r="CC64" s="65"/>
      <c r="CD64" s="67">
        <f t="shared" si="78"/>
        <v>0</v>
      </c>
      <c r="CE64" s="68">
        <f t="shared" si="79"/>
        <v>0</v>
      </c>
      <c r="CF64" s="68">
        <f t="shared" si="80"/>
        <v>0</v>
      </c>
      <c r="CG64" s="68">
        <f t="shared" si="81"/>
        <v>0</v>
      </c>
      <c r="CH64" s="68">
        <f t="shared" si="82"/>
        <v>0</v>
      </c>
      <c r="CI64" s="68">
        <f t="shared" si="83"/>
        <v>0</v>
      </c>
      <c r="CJ64" s="69">
        <f t="shared" si="84"/>
        <v>0</v>
      </c>
      <c r="CM64" s="67">
        <f t="shared" si="44"/>
        <v>256.90000000000003</v>
      </c>
      <c r="CN64" s="68">
        <f t="shared" si="49"/>
        <v>369</v>
      </c>
      <c r="CO64" s="68">
        <f t="shared" si="50"/>
        <v>264.8</v>
      </c>
      <c r="CP64" s="68">
        <f t="shared" si="51"/>
        <v>379.8</v>
      </c>
      <c r="CQ64" s="68">
        <f t="shared" si="52"/>
        <v>395.09999999999997</v>
      </c>
      <c r="CR64" s="68">
        <f t="shared" si="53"/>
        <v>584</v>
      </c>
      <c r="CS64" s="69">
        <f t="shared" si="54"/>
        <v>413</v>
      </c>
      <c r="CU64" s="511">
        <f>SUM(SUMIF($AZ$8:$BF$8, {"NON";"NEUT"}, AZ64:BF64))/config!$AC$16</f>
        <v>8.8000000000000007</v>
      </c>
      <c r="CV64" s="512">
        <f t="shared" si="45"/>
        <v>0.55208333333333348</v>
      </c>
      <c r="CY64" s="67">
        <f>SUM(C68*$CY$108, C175*$CY$109, C282*$CY$110, C389*$CY$111, C496*$CY$112, C603*$CY$113, C710*$CY$114)/config!$AC$16</f>
        <v>0.2</v>
      </c>
      <c r="CZ64" s="68">
        <f>SUM(SUM(D68:E68)*$CY$108, SUM(D175:E175)*$CY$109, SUM(D282:E282)*$CY$110, SUM(D389:E389)*$CY$111, SUM(D496:E496)*$CY$112, SUM(D603:E603)*$CY$113, SUM(D710:E710)*$CY$114)/config!$AC$16</f>
        <v>6.8</v>
      </c>
      <c r="DA64" s="68">
        <f>SUM(SUM(F68:G68)*$CY$108, SUM(F175:G175)*$CY$109, SUM(F282:G282)*$CY$110, SUM(F389:G389)*$CY$111, SUM(F496:G496)*$CY$112, SUM(F603:G603)*$CY$113, SUM(F710:G710)*$CY$114)/config!$AC$16</f>
        <v>1.8</v>
      </c>
      <c r="DB64" s="68">
        <f>SUM(H68*$CY$108, H175*$CY$109, H282*$CY$110, H389*$CY$111, H496*$CY$112, H603*$CY$113, H710*$CY$114)/config!$AC$16</f>
        <v>0</v>
      </c>
      <c r="DC64" s="69">
        <f>SUM(SUM(I68:L68)*$CY$108, SUM(I175:L175)*$CY$109, SUM(I282:L282)*$CY$110, SUM(I389:L389)*$CY$111, SUM(I496:L496)*$CY$112, SUM(I603:L603)*$CY$113, SUM(I710:L710)*$CY$114)/config!$AC$16</f>
        <v>0</v>
      </c>
    </row>
    <row r="65" spans="1:107" ht="15" x14ac:dyDescent="0.25">
      <c r="A65" s="190" t="s">
        <v>98</v>
      </c>
      <c r="B65" s="642">
        <v>11</v>
      </c>
      <c r="C65" s="184">
        <v>0</v>
      </c>
      <c r="D65" s="184">
        <v>11</v>
      </c>
      <c r="E65" s="184">
        <v>0</v>
      </c>
      <c r="F65" s="184">
        <v>0</v>
      </c>
      <c r="G65" s="184">
        <v>0</v>
      </c>
      <c r="H65" s="184">
        <v>0</v>
      </c>
      <c r="I65" s="184">
        <v>0</v>
      </c>
      <c r="J65" s="184">
        <v>0</v>
      </c>
      <c r="K65" s="184">
        <v>0</v>
      </c>
      <c r="L65" s="184">
        <v>0</v>
      </c>
      <c r="M65" s="654" t="s">
        <v>24</v>
      </c>
      <c r="N65" s="669" t="s">
        <v>98</v>
      </c>
      <c r="O65" s="642">
        <v>0</v>
      </c>
      <c r="P65" s="184">
        <v>0</v>
      </c>
      <c r="Q65" s="184">
        <v>0</v>
      </c>
      <c r="R65" s="184">
        <v>0</v>
      </c>
      <c r="S65" s="184">
        <v>2</v>
      </c>
      <c r="T65" s="184">
        <v>2</v>
      </c>
      <c r="U65" s="184">
        <v>0</v>
      </c>
      <c r="V65" s="184">
        <v>4</v>
      </c>
      <c r="W65" s="184">
        <v>2</v>
      </c>
      <c r="X65" s="184">
        <v>0</v>
      </c>
      <c r="Y65" s="184">
        <v>1</v>
      </c>
      <c r="Z65" s="184">
        <v>0</v>
      </c>
      <c r="AA65" s="184">
        <v>0</v>
      </c>
      <c r="AB65" s="184">
        <v>0</v>
      </c>
      <c r="AC65" s="185">
        <v>40</v>
      </c>
      <c r="AD65" s="185">
        <v>48.5</v>
      </c>
      <c r="AE65" s="184">
        <v>1</v>
      </c>
      <c r="AF65" s="185">
        <v>9.0909090909090917</v>
      </c>
      <c r="AG65" s="184">
        <v>0</v>
      </c>
      <c r="AH65" s="185">
        <v>0</v>
      </c>
      <c r="AI65" s="184">
        <v>0</v>
      </c>
      <c r="AJ65" s="643">
        <v>0</v>
      </c>
      <c r="AP65" s="401">
        <f t="shared" si="40"/>
        <v>5</v>
      </c>
      <c r="AR65" s="56">
        <f t="shared" si="41"/>
        <v>0.56250000000000011</v>
      </c>
      <c r="AS65" s="67">
        <f>SUM(C69,C176,C283,C390,C497,C604,C711)/config!$AC$13</f>
        <v>0.2857142857142857</v>
      </c>
      <c r="AT65" s="68">
        <f>SUM(D69:E69,D176:E176,D283:E283,D390:E390,D497:E497,D604:E604,D711:E711)/config!$AC$13</f>
        <v>9.4285714285714288</v>
      </c>
      <c r="AU65" s="68">
        <f>SUM(F69:G69,F176:G176,F283:G283,F390:G390,F497:G497,F604:G604,F711:G711)/config!$AC$13</f>
        <v>0.7142857142857143</v>
      </c>
      <c r="AV65" s="68">
        <f>SUM(H69,H176,H283,H390,H497,H604,H711)/config!$AC$13</f>
        <v>0</v>
      </c>
      <c r="AW65" s="69">
        <f>SUM(I69:L69,I176:L176,I283:L283,I390:L390,I497:L497,I604:L604,I711:L711)/config!$AC$13</f>
        <v>0</v>
      </c>
      <c r="AY65" s="56">
        <f t="shared" si="42"/>
        <v>0.56250000000000011</v>
      </c>
      <c r="AZ65" s="70">
        <f t="shared" si="55"/>
        <v>6</v>
      </c>
      <c r="BA65" s="71">
        <f t="shared" si="56"/>
        <v>11</v>
      </c>
      <c r="BB65" s="71">
        <f t="shared" si="57"/>
        <v>7</v>
      </c>
      <c r="BC65" s="71">
        <f t="shared" si="58"/>
        <v>19</v>
      </c>
      <c r="BD65" s="71">
        <f t="shared" si="59"/>
        <v>12</v>
      </c>
      <c r="BE65" s="71">
        <f t="shared" si="60"/>
        <v>8</v>
      </c>
      <c r="BF65" s="72">
        <f t="shared" si="61"/>
        <v>10</v>
      </c>
      <c r="BG65" s="45"/>
      <c r="BH65" s="56">
        <f t="shared" si="62"/>
        <v>0.56250000000000011</v>
      </c>
      <c r="BI65" s="67">
        <f t="shared" si="63"/>
        <v>35.1</v>
      </c>
      <c r="BJ65" s="68">
        <f t="shared" si="64"/>
        <v>40.700000000000003</v>
      </c>
      <c r="BK65" s="68">
        <f t="shared" si="65"/>
        <v>34.299999999999997</v>
      </c>
      <c r="BL65" s="68">
        <f t="shared" si="66"/>
        <v>43.9</v>
      </c>
      <c r="BM65" s="68">
        <f t="shared" si="67"/>
        <v>37</v>
      </c>
      <c r="BN65" s="68">
        <f t="shared" si="68"/>
        <v>36.4</v>
      </c>
      <c r="BO65" s="69">
        <f t="shared" si="69"/>
        <v>41.5</v>
      </c>
      <c r="BP65" s="63"/>
      <c r="BQ65" s="64">
        <f t="shared" si="70"/>
        <v>0.56250000000000011</v>
      </c>
      <c r="BR65" s="67" t="str">
        <f t="shared" si="71"/>
        <v/>
      </c>
      <c r="BS65" s="68">
        <f t="shared" si="72"/>
        <v>52.3</v>
      </c>
      <c r="BT65" s="68" t="str">
        <f t="shared" si="73"/>
        <v/>
      </c>
      <c r="BU65" s="68">
        <f t="shared" si="74"/>
        <v>54.6</v>
      </c>
      <c r="BV65" s="68">
        <f t="shared" si="75"/>
        <v>44.9</v>
      </c>
      <c r="BW65" s="68" t="str">
        <f t="shared" si="76"/>
        <v/>
      </c>
      <c r="BX65" s="69" t="str">
        <f t="shared" si="77"/>
        <v/>
      </c>
      <c r="BY65" s="65"/>
      <c r="BZ65" s="66">
        <f t="shared" si="43"/>
        <v>38.414285714285711</v>
      </c>
      <c r="CA65" s="414">
        <f t="shared" si="31"/>
        <v>50.6</v>
      </c>
      <c r="CB65" s="416">
        <f t="shared" si="48"/>
        <v>60</v>
      </c>
      <c r="CC65" s="65"/>
      <c r="CD65" s="67">
        <f t="shared" si="78"/>
        <v>0</v>
      </c>
      <c r="CE65" s="68">
        <f t="shared" si="79"/>
        <v>0</v>
      </c>
      <c r="CF65" s="68">
        <f t="shared" si="80"/>
        <v>0</v>
      </c>
      <c r="CG65" s="68">
        <f t="shared" si="81"/>
        <v>0</v>
      </c>
      <c r="CH65" s="68">
        <f t="shared" si="82"/>
        <v>0</v>
      </c>
      <c r="CI65" s="68">
        <f t="shared" si="83"/>
        <v>0</v>
      </c>
      <c r="CJ65" s="69">
        <f t="shared" si="84"/>
        <v>0</v>
      </c>
      <c r="CM65" s="67">
        <f t="shared" si="44"/>
        <v>210.60000000000002</v>
      </c>
      <c r="CN65" s="68">
        <f t="shared" si="49"/>
        <v>447.70000000000005</v>
      </c>
      <c r="CO65" s="68">
        <f t="shared" si="50"/>
        <v>240.09999999999997</v>
      </c>
      <c r="CP65" s="68">
        <f t="shared" si="51"/>
        <v>834.1</v>
      </c>
      <c r="CQ65" s="68">
        <f t="shared" si="52"/>
        <v>444</v>
      </c>
      <c r="CR65" s="68">
        <f t="shared" si="53"/>
        <v>291.2</v>
      </c>
      <c r="CS65" s="69">
        <f t="shared" si="54"/>
        <v>415</v>
      </c>
      <c r="CU65" s="511">
        <f>SUM(SUMIF($AZ$8:$BF$8, {"NON";"NEUT"}, AZ65:BF65))/config!$AC$16</f>
        <v>10.6</v>
      </c>
      <c r="CV65" s="512">
        <f t="shared" si="45"/>
        <v>0.56250000000000011</v>
      </c>
      <c r="CY65" s="67">
        <f>SUM(C69*$CY$108, C176*$CY$109, C283*$CY$110, C390*$CY$111, C497*$CY$112, C604*$CY$113, C711*$CY$114)/config!$AC$16</f>
        <v>0</v>
      </c>
      <c r="CZ65" s="68">
        <f>SUM(SUM(D69:E69)*$CY$108, SUM(D176:E176)*$CY$109, SUM(D283:E283)*$CY$110, SUM(D390:E390)*$CY$111, SUM(D497:E497)*$CY$112, SUM(D604:E604)*$CY$113, SUM(D711:E711)*$CY$114)/config!$AC$16</f>
        <v>9.6</v>
      </c>
      <c r="DA65" s="68">
        <f>SUM(SUM(F69:G69)*$CY$108, SUM(F176:G176)*$CY$109, SUM(F283:G283)*$CY$110, SUM(F390:G390)*$CY$111, SUM(F497:G497)*$CY$112, SUM(F604:G604)*$CY$113, SUM(F711:G711)*$CY$114)/config!$AC$16</f>
        <v>1</v>
      </c>
      <c r="DB65" s="68">
        <f>SUM(H69*$CY$108, H176*$CY$109, H283*$CY$110, H390*$CY$111, H497*$CY$112, H604*$CY$113, H711*$CY$114)/config!$AC$16</f>
        <v>0</v>
      </c>
      <c r="DC65" s="69">
        <f>SUM(SUM(I69:L69)*$CY$108, SUM(I176:L176)*$CY$109, SUM(I283:L283)*$CY$110, SUM(I390:L390)*$CY$111, SUM(I497:L497)*$CY$112, SUM(I604:L604)*$CY$113, SUM(I711:L711)*$CY$114)/config!$AC$16</f>
        <v>0</v>
      </c>
    </row>
    <row r="66" spans="1:107" ht="15" x14ac:dyDescent="0.25">
      <c r="A66" s="190" t="s">
        <v>99</v>
      </c>
      <c r="B66" s="642">
        <v>10</v>
      </c>
      <c r="C66" s="184">
        <v>0</v>
      </c>
      <c r="D66" s="184">
        <v>8</v>
      </c>
      <c r="E66" s="184">
        <v>0</v>
      </c>
      <c r="F66" s="184">
        <v>2</v>
      </c>
      <c r="G66" s="184">
        <v>0</v>
      </c>
      <c r="H66" s="184">
        <v>0</v>
      </c>
      <c r="I66" s="184">
        <v>0</v>
      </c>
      <c r="J66" s="184">
        <v>0</v>
      </c>
      <c r="K66" s="184">
        <v>0</v>
      </c>
      <c r="L66" s="184">
        <v>0</v>
      </c>
      <c r="M66" s="654" t="s">
        <v>24</v>
      </c>
      <c r="N66" s="669" t="s">
        <v>99</v>
      </c>
      <c r="O66" s="642">
        <v>0</v>
      </c>
      <c r="P66" s="184">
        <v>0</v>
      </c>
      <c r="Q66" s="184">
        <v>1</v>
      </c>
      <c r="R66" s="184">
        <v>0</v>
      </c>
      <c r="S66" s="184">
        <v>0</v>
      </c>
      <c r="T66" s="184">
        <v>3</v>
      </c>
      <c r="U66" s="184">
        <v>4</v>
      </c>
      <c r="V66" s="184">
        <v>1</v>
      </c>
      <c r="W66" s="184">
        <v>0</v>
      </c>
      <c r="X66" s="184">
        <v>1</v>
      </c>
      <c r="Y66" s="184">
        <v>0</v>
      </c>
      <c r="Z66" s="184">
        <v>0</v>
      </c>
      <c r="AA66" s="184">
        <v>0</v>
      </c>
      <c r="AB66" s="184">
        <v>0</v>
      </c>
      <c r="AC66" s="185">
        <v>36.5</v>
      </c>
      <c r="AD66" s="185" t="s">
        <v>24</v>
      </c>
      <c r="AE66" s="184">
        <v>0</v>
      </c>
      <c r="AF66" s="185">
        <v>0</v>
      </c>
      <c r="AG66" s="184">
        <v>0</v>
      </c>
      <c r="AH66" s="185">
        <v>0</v>
      </c>
      <c r="AI66" s="184">
        <v>0</v>
      </c>
      <c r="AJ66" s="643">
        <v>0</v>
      </c>
      <c r="AP66" s="401">
        <f t="shared" si="40"/>
        <v>7</v>
      </c>
      <c r="AR66" s="56">
        <f t="shared" si="41"/>
        <v>0.57291666666666674</v>
      </c>
      <c r="AS66" s="67">
        <f>SUM(C70,C177,C284,C391,C498,C605,C712)/config!$AC$13</f>
        <v>0.2857142857142857</v>
      </c>
      <c r="AT66" s="68">
        <f>SUM(D70:E70,D177:E177,D284:E284,D391:E391,D498:E498,D605:E605,D712:E712)/config!$AC$13</f>
        <v>10.285714285714286</v>
      </c>
      <c r="AU66" s="68">
        <f>SUM(F70:G70,F177:G177,F284:G284,F391:G391,F498:G498,F605:G605,F712:G712)/config!$AC$13</f>
        <v>1</v>
      </c>
      <c r="AV66" s="68">
        <f>SUM(H70,H177,H284,H391,H498,H605,H712)/config!$AC$13</f>
        <v>0</v>
      </c>
      <c r="AW66" s="69">
        <f>SUM(I70:L70,I177:L177,I284:L284,I391:L391,I498:L498,I605:L605,I712:L712)/config!$AC$13</f>
        <v>0.14285714285714285</v>
      </c>
      <c r="AY66" s="56">
        <f t="shared" si="42"/>
        <v>0.57291666666666674</v>
      </c>
      <c r="AZ66" s="70">
        <f t="shared" si="55"/>
        <v>8</v>
      </c>
      <c r="BA66" s="71">
        <f t="shared" si="56"/>
        <v>9</v>
      </c>
      <c r="BB66" s="71">
        <f t="shared" si="57"/>
        <v>10</v>
      </c>
      <c r="BC66" s="71">
        <f t="shared" si="58"/>
        <v>14</v>
      </c>
      <c r="BD66" s="71">
        <f t="shared" si="59"/>
        <v>17</v>
      </c>
      <c r="BE66" s="71">
        <f t="shared" si="60"/>
        <v>17</v>
      </c>
      <c r="BF66" s="72">
        <f t="shared" si="61"/>
        <v>7</v>
      </c>
      <c r="BG66" s="45"/>
      <c r="BH66" s="56">
        <f t="shared" si="62"/>
        <v>0.57291666666666674</v>
      </c>
      <c r="BI66" s="67">
        <f t="shared" si="63"/>
        <v>41.6</v>
      </c>
      <c r="BJ66" s="68">
        <f t="shared" si="64"/>
        <v>33.4</v>
      </c>
      <c r="BK66" s="68">
        <f t="shared" si="65"/>
        <v>43.7</v>
      </c>
      <c r="BL66" s="68">
        <f t="shared" si="66"/>
        <v>43.5</v>
      </c>
      <c r="BM66" s="68">
        <f t="shared" si="67"/>
        <v>35</v>
      </c>
      <c r="BN66" s="68">
        <f t="shared" si="68"/>
        <v>36.299999999999997</v>
      </c>
      <c r="BO66" s="69">
        <f t="shared" si="69"/>
        <v>48.8</v>
      </c>
      <c r="BP66" s="63"/>
      <c r="BQ66" s="64">
        <f t="shared" si="70"/>
        <v>0.57291666666666674</v>
      </c>
      <c r="BR66" s="67" t="str">
        <f t="shared" si="71"/>
        <v/>
      </c>
      <c r="BS66" s="68" t="str">
        <f t="shared" si="72"/>
        <v/>
      </c>
      <c r="BT66" s="68" t="str">
        <f t="shared" si="73"/>
        <v/>
      </c>
      <c r="BU66" s="68">
        <f t="shared" si="74"/>
        <v>52.8</v>
      </c>
      <c r="BV66" s="68">
        <f t="shared" si="75"/>
        <v>44.4</v>
      </c>
      <c r="BW66" s="68">
        <f t="shared" si="76"/>
        <v>44.1</v>
      </c>
      <c r="BX66" s="69" t="str">
        <f t="shared" si="77"/>
        <v/>
      </c>
      <c r="BY66" s="65"/>
      <c r="BZ66" s="66">
        <f t="shared" si="43"/>
        <v>40.328571428571429</v>
      </c>
      <c r="CA66" s="414">
        <f t="shared" si="31"/>
        <v>47.099999999999994</v>
      </c>
      <c r="CB66" s="416">
        <f t="shared" si="48"/>
        <v>60</v>
      </c>
      <c r="CC66" s="65"/>
      <c r="CD66" s="67">
        <f t="shared" si="78"/>
        <v>0</v>
      </c>
      <c r="CE66" s="68">
        <f t="shared" si="79"/>
        <v>0</v>
      </c>
      <c r="CF66" s="68">
        <f t="shared" si="80"/>
        <v>1</v>
      </c>
      <c r="CG66" s="68">
        <f t="shared" si="81"/>
        <v>1</v>
      </c>
      <c r="CH66" s="68">
        <f t="shared" si="82"/>
        <v>0</v>
      </c>
      <c r="CI66" s="68">
        <f t="shared" si="83"/>
        <v>0</v>
      </c>
      <c r="CJ66" s="69">
        <f t="shared" si="84"/>
        <v>1</v>
      </c>
      <c r="CM66" s="67">
        <f t="shared" si="44"/>
        <v>332.8</v>
      </c>
      <c r="CN66" s="68">
        <f t="shared" si="49"/>
        <v>300.59999999999997</v>
      </c>
      <c r="CO66" s="68">
        <f t="shared" si="50"/>
        <v>437</v>
      </c>
      <c r="CP66" s="68">
        <f t="shared" si="51"/>
        <v>609</v>
      </c>
      <c r="CQ66" s="68">
        <f t="shared" si="52"/>
        <v>595</v>
      </c>
      <c r="CR66" s="68">
        <f t="shared" si="53"/>
        <v>617.09999999999991</v>
      </c>
      <c r="CS66" s="69">
        <f t="shared" si="54"/>
        <v>341.59999999999997</v>
      </c>
      <c r="CU66" s="511">
        <f>SUM(SUMIF($AZ$8:$BF$8, {"NON";"NEUT"}, AZ66:BF66))/config!$AC$16</f>
        <v>9.6</v>
      </c>
      <c r="CV66" s="512">
        <f t="shared" si="45"/>
        <v>0.57291666666666674</v>
      </c>
      <c r="CY66" s="67">
        <f>SUM(C70*$CY$108, C177*$CY$109, C284*$CY$110, C391*$CY$111, C498*$CY$112, C605*$CY$113, C712*$CY$114)/config!$AC$16</f>
        <v>0.2</v>
      </c>
      <c r="CZ66" s="68">
        <f>SUM(SUM(D70:E70)*$CY$108, SUM(D177:E177)*$CY$109, SUM(D284:E284)*$CY$110, SUM(D391:E391)*$CY$111, SUM(D498:E498)*$CY$112, SUM(D605:E605)*$CY$113, SUM(D712:E712)*$CY$114)/config!$AC$16</f>
        <v>8</v>
      </c>
      <c r="DA66" s="68">
        <f>SUM(SUM(F70:G70)*$CY$108, SUM(F177:G177)*$CY$109, SUM(F284:G284)*$CY$110, SUM(F391:G391)*$CY$111, SUM(F498:G498)*$CY$112, SUM(F605:G605)*$CY$113, SUM(F712:G712)*$CY$114)/config!$AC$16</f>
        <v>1.2</v>
      </c>
      <c r="DB66" s="68">
        <f>SUM(H70*$CY$108, H177*$CY$109, H284*$CY$110, H391*$CY$111, H498*$CY$112, H605*$CY$113, H712*$CY$114)/config!$AC$16</f>
        <v>0</v>
      </c>
      <c r="DC66" s="69">
        <f>SUM(SUM(I70:L70)*$CY$108, SUM(I177:L177)*$CY$109, SUM(I284:L284)*$CY$110, SUM(I391:L391)*$CY$111, SUM(I498:L498)*$CY$112, SUM(I605:L605)*$CY$113, SUM(I712:L712)*$CY$114)/config!$AC$16</f>
        <v>0.2</v>
      </c>
    </row>
    <row r="67" spans="1:107" ht="15" x14ac:dyDescent="0.25">
      <c r="A67" s="190" t="s">
        <v>60</v>
      </c>
      <c r="B67" s="642">
        <v>11</v>
      </c>
      <c r="C67" s="184">
        <v>0</v>
      </c>
      <c r="D67" s="184">
        <v>10</v>
      </c>
      <c r="E67" s="184">
        <v>0</v>
      </c>
      <c r="F67" s="184">
        <v>1</v>
      </c>
      <c r="G67" s="184">
        <v>0</v>
      </c>
      <c r="H67" s="184">
        <v>0</v>
      </c>
      <c r="I67" s="184">
        <v>0</v>
      </c>
      <c r="J67" s="184">
        <v>0</v>
      </c>
      <c r="K67" s="184">
        <v>0</v>
      </c>
      <c r="L67" s="184">
        <v>0</v>
      </c>
      <c r="M67" s="654" t="s">
        <v>24</v>
      </c>
      <c r="N67" s="669" t="s">
        <v>60</v>
      </c>
      <c r="O67" s="642">
        <v>0</v>
      </c>
      <c r="P67" s="184">
        <v>0</v>
      </c>
      <c r="Q67" s="184">
        <v>0</v>
      </c>
      <c r="R67" s="184">
        <v>1</v>
      </c>
      <c r="S67" s="184">
        <v>0</v>
      </c>
      <c r="T67" s="184">
        <v>2</v>
      </c>
      <c r="U67" s="184">
        <v>1</v>
      </c>
      <c r="V67" s="184">
        <v>3</v>
      </c>
      <c r="W67" s="184">
        <v>2</v>
      </c>
      <c r="X67" s="184">
        <v>1</v>
      </c>
      <c r="Y67" s="184">
        <v>1</v>
      </c>
      <c r="Z67" s="184">
        <v>0</v>
      </c>
      <c r="AA67" s="184">
        <v>0</v>
      </c>
      <c r="AB67" s="184">
        <v>0</v>
      </c>
      <c r="AC67" s="185">
        <v>41.6</v>
      </c>
      <c r="AD67" s="185">
        <v>52.3</v>
      </c>
      <c r="AE67" s="184">
        <v>1</v>
      </c>
      <c r="AF67" s="185">
        <v>9.0909090909090917</v>
      </c>
      <c r="AG67" s="184">
        <v>0</v>
      </c>
      <c r="AH67" s="185">
        <v>0</v>
      </c>
      <c r="AI67" s="184">
        <v>0</v>
      </c>
      <c r="AJ67" s="643">
        <v>0</v>
      </c>
      <c r="AP67" s="401">
        <f t="shared" si="40"/>
        <v>17</v>
      </c>
      <c r="AR67" s="56">
        <f t="shared" si="41"/>
        <v>0.58333333333333337</v>
      </c>
      <c r="AS67" s="67">
        <f>SUM(C71,C178,C285,C392,C499,C606,C713)/config!$AC$13</f>
        <v>0.42857142857142855</v>
      </c>
      <c r="AT67" s="68">
        <f>SUM(D71:E71,D178:E178,D285:E285,D392:E392,D499:E499,D606:E606,D713:E713)/config!$AC$13</f>
        <v>8.1428571428571423</v>
      </c>
      <c r="AU67" s="68">
        <f>SUM(F71:G71,F178:G178,F285:G285,F392:G392,F499:G499,F606:G606,F713:G713)/config!$AC$13</f>
        <v>2.4285714285714284</v>
      </c>
      <c r="AV67" s="68">
        <f>SUM(H71,H178,H285,H392,H499,H606,H713)/config!$AC$13</f>
        <v>0</v>
      </c>
      <c r="AW67" s="69">
        <f>SUM(I71:L71,I178:L178,I285:L285,I392:L392,I499:L499,I606:L606,I713:L713)/config!$AC$13</f>
        <v>0</v>
      </c>
      <c r="AY67" s="56">
        <f t="shared" si="42"/>
        <v>0.58333333333333337</v>
      </c>
      <c r="AZ67" s="70">
        <f t="shared" si="55"/>
        <v>15</v>
      </c>
      <c r="BA67" s="71">
        <f t="shared" si="56"/>
        <v>13</v>
      </c>
      <c r="BB67" s="71">
        <f t="shared" si="57"/>
        <v>7</v>
      </c>
      <c r="BC67" s="71">
        <f t="shared" si="58"/>
        <v>10</v>
      </c>
      <c r="BD67" s="71">
        <f t="shared" si="59"/>
        <v>13</v>
      </c>
      <c r="BE67" s="71">
        <f t="shared" si="60"/>
        <v>10</v>
      </c>
      <c r="BF67" s="72">
        <f t="shared" si="61"/>
        <v>9</v>
      </c>
      <c r="BG67" s="45"/>
      <c r="BH67" s="56">
        <f t="shared" si="62"/>
        <v>0.58333333333333337</v>
      </c>
      <c r="BI67" s="67">
        <f t="shared" si="63"/>
        <v>40.9</v>
      </c>
      <c r="BJ67" s="68">
        <f t="shared" si="64"/>
        <v>35.799999999999997</v>
      </c>
      <c r="BK67" s="68">
        <f t="shared" si="65"/>
        <v>33.1</v>
      </c>
      <c r="BL67" s="68">
        <f t="shared" si="66"/>
        <v>42.7</v>
      </c>
      <c r="BM67" s="68">
        <f t="shared" si="67"/>
        <v>37</v>
      </c>
      <c r="BN67" s="68">
        <f t="shared" si="68"/>
        <v>39.200000000000003</v>
      </c>
      <c r="BO67" s="69">
        <f t="shared" si="69"/>
        <v>43.9</v>
      </c>
      <c r="BP67" s="63"/>
      <c r="BQ67" s="64">
        <f t="shared" si="70"/>
        <v>0.58333333333333337</v>
      </c>
      <c r="BR67" s="67">
        <f t="shared" si="71"/>
        <v>50</v>
      </c>
      <c r="BS67" s="68">
        <f t="shared" si="72"/>
        <v>48.8</v>
      </c>
      <c r="BT67" s="68" t="str">
        <f t="shared" si="73"/>
        <v/>
      </c>
      <c r="BU67" s="68" t="str">
        <f t="shared" si="74"/>
        <v/>
      </c>
      <c r="BV67" s="68">
        <f t="shared" si="75"/>
        <v>43.6</v>
      </c>
      <c r="BW67" s="68" t="str">
        <f t="shared" si="76"/>
        <v/>
      </c>
      <c r="BX67" s="69" t="str">
        <f t="shared" si="77"/>
        <v/>
      </c>
      <c r="BY67" s="65"/>
      <c r="BZ67" s="66">
        <f t="shared" si="43"/>
        <v>38.942857142857136</v>
      </c>
      <c r="CA67" s="414">
        <f t="shared" si="31"/>
        <v>47.466666666666669</v>
      </c>
      <c r="CB67" s="416">
        <f t="shared" si="48"/>
        <v>60</v>
      </c>
      <c r="CC67" s="65"/>
      <c r="CD67" s="67">
        <f t="shared" si="78"/>
        <v>0</v>
      </c>
      <c r="CE67" s="68">
        <f t="shared" si="79"/>
        <v>0</v>
      </c>
      <c r="CF67" s="68">
        <f t="shared" si="80"/>
        <v>0</v>
      </c>
      <c r="CG67" s="68">
        <f t="shared" si="81"/>
        <v>0</v>
      </c>
      <c r="CH67" s="68">
        <f t="shared" si="82"/>
        <v>0</v>
      </c>
      <c r="CI67" s="68">
        <f t="shared" si="83"/>
        <v>0</v>
      </c>
      <c r="CJ67" s="69">
        <f t="shared" si="84"/>
        <v>1</v>
      </c>
      <c r="CM67" s="67">
        <f t="shared" si="44"/>
        <v>613.5</v>
      </c>
      <c r="CN67" s="68">
        <f t="shared" si="49"/>
        <v>465.4</v>
      </c>
      <c r="CO67" s="68">
        <f t="shared" si="50"/>
        <v>231.70000000000002</v>
      </c>
      <c r="CP67" s="68">
        <f t="shared" si="51"/>
        <v>427</v>
      </c>
      <c r="CQ67" s="68">
        <f t="shared" si="52"/>
        <v>481</v>
      </c>
      <c r="CR67" s="68">
        <f t="shared" si="53"/>
        <v>392</v>
      </c>
      <c r="CS67" s="69">
        <f t="shared" si="54"/>
        <v>395.09999999999997</v>
      </c>
      <c r="CU67" s="511">
        <f>SUM(SUMIF($AZ$8:$BF$8, {"NON";"NEUT"}, AZ67:BF67))/config!$AC$16</f>
        <v>10.8</v>
      </c>
      <c r="CV67" s="512">
        <f t="shared" si="45"/>
        <v>0.58333333333333337</v>
      </c>
      <c r="CY67" s="67">
        <f>SUM(C71*$CY$108, C178*$CY$109, C285*$CY$110, C392*$CY$111, C499*$CY$112, C606*$CY$113, C713*$CY$114)/config!$AC$16</f>
        <v>0.4</v>
      </c>
      <c r="CZ67" s="68">
        <f>SUM(SUM(D71:E71)*$CY$108, SUM(D178:E178)*$CY$109, SUM(D285:E285)*$CY$110, SUM(D392:E392)*$CY$111, SUM(D499:E499)*$CY$112, SUM(D606:E606)*$CY$113, SUM(D713:E713)*$CY$114)/config!$AC$16</f>
        <v>7</v>
      </c>
      <c r="DA67" s="68">
        <f>SUM(SUM(F71:G71)*$CY$108, SUM(F178:G178)*$CY$109, SUM(F285:G285)*$CY$110, SUM(F392:G392)*$CY$111, SUM(F499:G499)*$CY$112, SUM(F606:G606)*$CY$113, SUM(F713:G713)*$CY$114)/config!$AC$16</f>
        <v>3.4</v>
      </c>
      <c r="DB67" s="68">
        <f>SUM(H71*$CY$108, H178*$CY$109, H285*$CY$110, H392*$CY$111, H499*$CY$112, H606*$CY$113, H713*$CY$114)/config!$AC$16</f>
        <v>0</v>
      </c>
      <c r="DC67" s="69">
        <f>SUM(SUM(I71:L71)*$CY$108, SUM(I178:L178)*$CY$109, SUM(I285:L285)*$CY$110, SUM(I392:L392)*$CY$111, SUM(I499:L499)*$CY$112, SUM(I606:L606)*$CY$113, SUM(I713:L713)*$CY$114)/config!$AC$16</f>
        <v>0</v>
      </c>
    </row>
    <row r="68" spans="1:107" ht="15" x14ac:dyDescent="0.25">
      <c r="A68" s="190" t="s">
        <v>100</v>
      </c>
      <c r="B68" s="642">
        <v>7</v>
      </c>
      <c r="C68" s="184">
        <v>0</v>
      </c>
      <c r="D68" s="184">
        <v>5</v>
      </c>
      <c r="E68" s="184">
        <v>0</v>
      </c>
      <c r="F68" s="184">
        <v>2</v>
      </c>
      <c r="G68" s="184">
        <v>0</v>
      </c>
      <c r="H68" s="184">
        <v>0</v>
      </c>
      <c r="I68" s="184">
        <v>0</v>
      </c>
      <c r="J68" s="184">
        <v>0</v>
      </c>
      <c r="K68" s="184">
        <v>0</v>
      </c>
      <c r="L68" s="184">
        <v>0</v>
      </c>
      <c r="M68" s="654" t="s">
        <v>24</v>
      </c>
      <c r="N68" s="669" t="s">
        <v>100</v>
      </c>
      <c r="O68" s="642">
        <v>0</v>
      </c>
      <c r="P68" s="184">
        <v>0</v>
      </c>
      <c r="Q68" s="184">
        <v>0</v>
      </c>
      <c r="R68" s="184">
        <v>0</v>
      </c>
      <c r="S68" s="184">
        <v>1</v>
      </c>
      <c r="T68" s="184">
        <v>2</v>
      </c>
      <c r="U68" s="184">
        <v>2</v>
      </c>
      <c r="V68" s="184">
        <v>2</v>
      </c>
      <c r="W68" s="184">
        <v>0</v>
      </c>
      <c r="X68" s="184">
        <v>0</v>
      </c>
      <c r="Y68" s="184">
        <v>0</v>
      </c>
      <c r="Z68" s="184">
        <v>0</v>
      </c>
      <c r="AA68" s="184">
        <v>0</v>
      </c>
      <c r="AB68" s="184">
        <v>0</v>
      </c>
      <c r="AC68" s="185">
        <v>36.700000000000003</v>
      </c>
      <c r="AD68" s="185" t="s">
        <v>24</v>
      </c>
      <c r="AE68" s="184">
        <v>0</v>
      </c>
      <c r="AF68" s="185">
        <v>0</v>
      </c>
      <c r="AG68" s="184">
        <v>0</v>
      </c>
      <c r="AH68" s="185">
        <v>0</v>
      </c>
      <c r="AI68" s="184">
        <v>0</v>
      </c>
      <c r="AJ68" s="643">
        <v>0</v>
      </c>
      <c r="AP68" s="401">
        <f t="shared" si="40"/>
        <v>8</v>
      </c>
      <c r="AR68" s="56">
        <f t="shared" si="41"/>
        <v>0.59375</v>
      </c>
      <c r="AS68" s="67">
        <f>SUM(C72,C179,C286,C393,C500,C607,C714)/config!$AC$13</f>
        <v>0.14285714285714285</v>
      </c>
      <c r="AT68" s="68">
        <f>SUM(D72:E72,D179:E179,D286:E286,D393:E393,D500:E500,D607:E607,D714:E714)/config!$AC$13</f>
        <v>11</v>
      </c>
      <c r="AU68" s="68">
        <f>SUM(F72:G72,F179:G179,F286:G286,F393:G393,F500:G500,F607:G607,F714:G714)/config!$AC$13</f>
        <v>1.1428571428571428</v>
      </c>
      <c r="AV68" s="68">
        <f>SUM(H72,H179,H286,H393,H500,H607,H714)/config!$AC$13</f>
        <v>0.14285714285714285</v>
      </c>
      <c r="AW68" s="69">
        <f>SUM(I72:L72,I179:L179,I286:L286,I393:L393,I500:L500,I607:L607,I714:L714)/config!$AC$13</f>
        <v>0.14285714285714285</v>
      </c>
      <c r="AY68" s="56">
        <f t="shared" si="42"/>
        <v>0.59375</v>
      </c>
      <c r="AZ68" s="70">
        <f t="shared" si="55"/>
        <v>8</v>
      </c>
      <c r="BA68" s="71">
        <f t="shared" si="56"/>
        <v>17</v>
      </c>
      <c r="BB68" s="71">
        <f t="shared" si="57"/>
        <v>11</v>
      </c>
      <c r="BC68" s="71">
        <f t="shared" si="58"/>
        <v>14</v>
      </c>
      <c r="BD68" s="71">
        <f t="shared" si="59"/>
        <v>11</v>
      </c>
      <c r="BE68" s="71">
        <f t="shared" si="60"/>
        <v>15</v>
      </c>
      <c r="BF68" s="72">
        <f t="shared" si="61"/>
        <v>12</v>
      </c>
      <c r="BG68" s="45"/>
      <c r="BH68" s="56">
        <f t="shared" si="62"/>
        <v>0.59375</v>
      </c>
      <c r="BI68" s="67">
        <f t="shared" si="63"/>
        <v>42.7</v>
      </c>
      <c r="BJ68" s="68">
        <f t="shared" si="64"/>
        <v>37.799999999999997</v>
      </c>
      <c r="BK68" s="68">
        <f t="shared" si="65"/>
        <v>35.299999999999997</v>
      </c>
      <c r="BL68" s="68">
        <f t="shared" si="66"/>
        <v>38.799999999999997</v>
      </c>
      <c r="BM68" s="68">
        <f t="shared" si="67"/>
        <v>37.9</v>
      </c>
      <c r="BN68" s="68">
        <f t="shared" si="68"/>
        <v>40.700000000000003</v>
      </c>
      <c r="BO68" s="69">
        <f t="shared" si="69"/>
        <v>41</v>
      </c>
      <c r="BP68" s="63"/>
      <c r="BQ68" s="64">
        <f t="shared" si="70"/>
        <v>0.59375</v>
      </c>
      <c r="BR68" s="67" t="str">
        <f t="shared" si="71"/>
        <v/>
      </c>
      <c r="BS68" s="68">
        <f t="shared" si="72"/>
        <v>46.6</v>
      </c>
      <c r="BT68" s="68">
        <f t="shared" si="73"/>
        <v>43.1</v>
      </c>
      <c r="BU68" s="68">
        <f t="shared" si="74"/>
        <v>44.4</v>
      </c>
      <c r="BV68" s="68">
        <f t="shared" si="75"/>
        <v>46.5</v>
      </c>
      <c r="BW68" s="68">
        <f t="shared" si="76"/>
        <v>47.1</v>
      </c>
      <c r="BX68" s="69">
        <f t="shared" si="77"/>
        <v>49.1</v>
      </c>
      <c r="BY68" s="65"/>
      <c r="BZ68" s="66">
        <f t="shared" si="43"/>
        <v>39.171428571428571</v>
      </c>
      <c r="CA68" s="414">
        <f t="shared" si="31"/>
        <v>46.133333333333333</v>
      </c>
      <c r="CB68" s="416">
        <f t="shared" si="48"/>
        <v>60</v>
      </c>
      <c r="CC68" s="65"/>
      <c r="CD68" s="67">
        <f t="shared" si="78"/>
        <v>0</v>
      </c>
      <c r="CE68" s="68">
        <f t="shared" si="79"/>
        <v>0</v>
      </c>
      <c r="CF68" s="68">
        <f t="shared" si="80"/>
        <v>0</v>
      </c>
      <c r="CG68" s="68">
        <f t="shared" si="81"/>
        <v>0</v>
      </c>
      <c r="CH68" s="68">
        <f t="shared" si="82"/>
        <v>0</v>
      </c>
      <c r="CI68" s="68">
        <f t="shared" si="83"/>
        <v>0</v>
      </c>
      <c r="CJ68" s="69">
        <f t="shared" si="84"/>
        <v>0</v>
      </c>
      <c r="CM68" s="67">
        <f t="shared" si="44"/>
        <v>341.6</v>
      </c>
      <c r="CN68" s="68">
        <f t="shared" si="49"/>
        <v>642.59999999999991</v>
      </c>
      <c r="CO68" s="68">
        <f t="shared" si="50"/>
        <v>388.29999999999995</v>
      </c>
      <c r="CP68" s="68">
        <f t="shared" si="51"/>
        <v>543.19999999999993</v>
      </c>
      <c r="CQ68" s="68">
        <f t="shared" si="52"/>
        <v>416.9</v>
      </c>
      <c r="CR68" s="68">
        <f t="shared" si="53"/>
        <v>610.5</v>
      </c>
      <c r="CS68" s="69">
        <f t="shared" si="54"/>
        <v>492</v>
      </c>
      <c r="CU68" s="511">
        <f>SUM(SUMIF($AZ$8:$BF$8, {"NON";"NEUT"}, AZ68:BF68))/config!$AC$16</f>
        <v>12.4</v>
      </c>
      <c r="CV68" s="512">
        <f t="shared" si="45"/>
        <v>0.59375</v>
      </c>
      <c r="CY68" s="67">
        <f>SUM(C72*$CY$108, C179*$CY$109, C286*$CY$110, C393*$CY$111, C500*$CY$112, C607*$CY$113, C714*$CY$114)/config!$AC$16</f>
        <v>0.2</v>
      </c>
      <c r="CZ68" s="68">
        <f>SUM(SUM(D72:E72)*$CY$108, SUM(D179:E179)*$CY$109, SUM(D286:E286)*$CY$110, SUM(D393:E393)*$CY$111, SUM(D500:E500)*$CY$112, SUM(D607:E607)*$CY$113, SUM(D714:E714)*$CY$114)/config!$AC$16</f>
        <v>10.199999999999999</v>
      </c>
      <c r="DA68" s="68">
        <f>SUM(SUM(F72:G72)*$CY$108, SUM(F179:G179)*$CY$109, SUM(F286:G286)*$CY$110, SUM(F393:G393)*$CY$111, SUM(F500:G500)*$CY$112, SUM(F607:G607)*$CY$113, SUM(F714:G714)*$CY$114)/config!$AC$16</f>
        <v>1.6</v>
      </c>
      <c r="DB68" s="68">
        <f>SUM(H72*$CY$108, H179*$CY$109, H286*$CY$110, H393*$CY$111, H500*$CY$112, H607*$CY$113, H714*$CY$114)/config!$AC$16</f>
        <v>0.2</v>
      </c>
      <c r="DC68" s="69">
        <f>SUM(SUM(I72:L72)*$CY$108, SUM(I179:L179)*$CY$109, SUM(I286:L286)*$CY$110, SUM(I393:L393)*$CY$111, SUM(I500:L500)*$CY$112, SUM(I607:L607)*$CY$113, SUM(I714:L714)*$CY$114)/config!$AC$16</f>
        <v>0.2</v>
      </c>
    </row>
    <row r="69" spans="1:107" ht="15" x14ac:dyDescent="0.25">
      <c r="A69" s="190" t="s">
        <v>101</v>
      </c>
      <c r="B69" s="642">
        <v>6</v>
      </c>
      <c r="C69" s="184">
        <v>0</v>
      </c>
      <c r="D69" s="184">
        <v>5</v>
      </c>
      <c r="E69" s="184">
        <v>1</v>
      </c>
      <c r="F69" s="184">
        <v>0</v>
      </c>
      <c r="G69" s="184">
        <v>0</v>
      </c>
      <c r="H69" s="184">
        <v>0</v>
      </c>
      <c r="I69" s="184">
        <v>0</v>
      </c>
      <c r="J69" s="184">
        <v>0</v>
      </c>
      <c r="K69" s="184">
        <v>0</v>
      </c>
      <c r="L69" s="184">
        <v>0</v>
      </c>
      <c r="M69" s="654" t="s">
        <v>24</v>
      </c>
      <c r="N69" s="669" t="s">
        <v>101</v>
      </c>
      <c r="O69" s="642">
        <v>0</v>
      </c>
      <c r="P69" s="184">
        <v>0</v>
      </c>
      <c r="Q69" s="184">
        <v>1</v>
      </c>
      <c r="R69" s="184">
        <v>0</v>
      </c>
      <c r="S69" s="184">
        <v>1</v>
      </c>
      <c r="T69" s="184">
        <v>1</v>
      </c>
      <c r="U69" s="184">
        <v>0</v>
      </c>
      <c r="V69" s="184">
        <v>2</v>
      </c>
      <c r="W69" s="184">
        <v>1</v>
      </c>
      <c r="X69" s="184">
        <v>0</v>
      </c>
      <c r="Y69" s="184">
        <v>0</v>
      </c>
      <c r="Z69" s="184">
        <v>0</v>
      </c>
      <c r="AA69" s="184">
        <v>0</v>
      </c>
      <c r="AB69" s="184">
        <v>0</v>
      </c>
      <c r="AC69" s="185">
        <v>35.1</v>
      </c>
      <c r="AD69" s="185" t="s">
        <v>24</v>
      </c>
      <c r="AE69" s="184">
        <v>0</v>
      </c>
      <c r="AF69" s="185">
        <v>0</v>
      </c>
      <c r="AG69" s="184">
        <v>0</v>
      </c>
      <c r="AH69" s="185">
        <v>0</v>
      </c>
      <c r="AI69" s="184">
        <v>0</v>
      </c>
      <c r="AJ69" s="643">
        <v>0</v>
      </c>
      <c r="AP69" s="401">
        <f t="shared" si="40"/>
        <v>9</v>
      </c>
      <c r="AR69" s="56">
        <f t="shared" si="41"/>
        <v>0.60416666666666663</v>
      </c>
      <c r="AS69" s="67">
        <f>SUM(C73,C180,C287,C394,C501,C608,C715)/config!$AC$13</f>
        <v>0.42857142857142855</v>
      </c>
      <c r="AT69" s="68">
        <f>SUM(D73:E73,D180:E180,D287:E287,D394:E394,D501:E501,D608:E608,D715:E715)/config!$AC$13</f>
        <v>14.571428571428571</v>
      </c>
      <c r="AU69" s="68">
        <f>SUM(F73:G73,F180:G180,F287:G287,F394:G394,F501:G501,F608:G608,F715:G715)/config!$AC$13</f>
        <v>1.4285714285714286</v>
      </c>
      <c r="AV69" s="68">
        <f>SUM(H73,H180,H287,H394,H501,H608,H715)/config!$AC$13</f>
        <v>0</v>
      </c>
      <c r="AW69" s="69">
        <f>SUM(I73:L73,I180:L180,I287:L287,I394:L394,I501:L501,I608:L608,I715:L715)/config!$AC$13</f>
        <v>0</v>
      </c>
      <c r="AY69" s="56">
        <f t="shared" si="42"/>
        <v>0.60416666666666663</v>
      </c>
      <c r="AZ69" s="70">
        <f t="shared" si="55"/>
        <v>10</v>
      </c>
      <c r="BA69" s="71">
        <f t="shared" si="56"/>
        <v>18</v>
      </c>
      <c r="BB69" s="71">
        <f t="shared" si="57"/>
        <v>11</v>
      </c>
      <c r="BC69" s="71">
        <f t="shared" si="58"/>
        <v>21</v>
      </c>
      <c r="BD69" s="71">
        <f t="shared" si="59"/>
        <v>18</v>
      </c>
      <c r="BE69" s="71">
        <f t="shared" si="60"/>
        <v>23</v>
      </c>
      <c r="BF69" s="72">
        <f t="shared" si="61"/>
        <v>14</v>
      </c>
      <c r="BG69" s="45"/>
      <c r="BH69" s="56">
        <f t="shared" si="62"/>
        <v>0.60416666666666663</v>
      </c>
      <c r="BI69" s="67">
        <f t="shared" si="63"/>
        <v>43</v>
      </c>
      <c r="BJ69" s="68">
        <f t="shared" si="64"/>
        <v>36.200000000000003</v>
      </c>
      <c r="BK69" s="68">
        <f t="shared" si="65"/>
        <v>37.6</v>
      </c>
      <c r="BL69" s="68">
        <f t="shared" si="66"/>
        <v>37.9</v>
      </c>
      <c r="BM69" s="68">
        <f t="shared" si="67"/>
        <v>35.299999999999997</v>
      </c>
      <c r="BN69" s="68">
        <f t="shared" si="68"/>
        <v>38.5</v>
      </c>
      <c r="BO69" s="69">
        <f t="shared" si="69"/>
        <v>44.8</v>
      </c>
      <c r="BP69" s="63"/>
      <c r="BQ69" s="64">
        <f t="shared" si="70"/>
        <v>0.60416666666666663</v>
      </c>
      <c r="BR69" s="67" t="str">
        <f t="shared" si="71"/>
        <v/>
      </c>
      <c r="BS69" s="68">
        <f t="shared" si="72"/>
        <v>45.1</v>
      </c>
      <c r="BT69" s="68">
        <f t="shared" si="73"/>
        <v>43.3</v>
      </c>
      <c r="BU69" s="68">
        <f t="shared" si="74"/>
        <v>48.5</v>
      </c>
      <c r="BV69" s="68">
        <f t="shared" si="75"/>
        <v>41.8</v>
      </c>
      <c r="BW69" s="68">
        <f t="shared" si="76"/>
        <v>44.4</v>
      </c>
      <c r="BX69" s="69">
        <f t="shared" si="77"/>
        <v>51.6</v>
      </c>
      <c r="BY69" s="65"/>
      <c r="BZ69" s="66">
        <f t="shared" si="43"/>
        <v>39.042857142857144</v>
      </c>
      <c r="CA69" s="414">
        <f t="shared" si="31"/>
        <v>45.783333333333331</v>
      </c>
      <c r="CB69" s="416">
        <f t="shared" si="48"/>
        <v>60</v>
      </c>
      <c r="CC69" s="65"/>
      <c r="CD69" s="67">
        <f t="shared" si="78"/>
        <v>0</v>
      </c>
      <c r="CE69" s="68">
        <f t="shared" si="79"/>
        <v>0</v>
      </c>
      <c r="CF69" s="68">
        <f t="shared" si="80"/>
        <v>0</v>
      </c>
      <c r="CG69" s="68">
        <f t="shared" si="81"/>
        <v>0</v>
      </c>
      <c r="CH69" s="68">
        <f t="shared" si="82"/>
        <v>0</v>
      </c>
      <c r="CI69" s="68">
        <f t="shared" si="83"/>
        <v>0</v>
      </c>
      <c r="CJ69" s="69">
        <f t="shared" si="84"/>
        <v>0</v>
      </c>
      <c r="CM69" s="67">
        <f t="shared" si="44"/>
        <v>430</v>
      </c>
      <c r="CN69" s="68">
        <f t="shared" si="49"/>
        <v>651.6</v>
      </c>
      <c r="CO69" s="68">
        <f t="shared" si="50"/>
        <v>413.6</v>
      </c>
      <c r="CP69" s="68">
        <f t="shared" si="51"/>
        <v>795.9</v>
      </c>
      <c r="CQ69" s="68">
        <f t="shared" si="52"/>
        <v>635.4</v>
      </c>
      <c r="CR69" s="68">
        <f t="shared" si="53"/>
        <v>885.5</v>
      </c>
      <c r="CS69" s="69">
        <f t="shared" si="54"/>
        <v>627.19999999999993</v>
      </c>
      <c r="CU69" s="511">
        <f>SUM(SUMIF($AZ$8:$BF$8, {"NON";"NEUT"}, AZ69:BF69))/config!$AC$16</f>
        <v>14.8</v>
      </c>
      <c r="CV69" s="512">
        <f t="shared" si="45"/>
        <v>0.60416666666666663</v>
      </c>
      <c r="CY69" s="67">
        <f>SUM(C73*$CY$108, C180*$CY$109, C287*$CY$110, C394*$CY$111, C501*$CY$112, C608*$CY$113, C715*$CY$114)/config!$AC$16</f>
        <v>0.2</v>
      </c>
      <c r="CZ69" s="68">
        <f>SUM(SUM(D73:E73)*$CY$108, SUM(D180:E180)*$CY$109, SUM(D287:E287)*$CY$110, SUM(D394:E394)*$CY$111, SUM(D501:E501)*$CY$112, SUM(D608:E608)*$CY$113, SUM(D715:E715)*$CY$114)/config!$AC$16</f>
        <v>12.8</v>
      </c>
      <c r="DA69" s="68">
        <f>SUM(SUM(F73:G73)*$CY$108, SUM(F180:G180)*$CY$109, SUM(F287:G287)*$CY$110, SUM(F394:G394)*$CY$111, SUM(F501:G501)*$CY$112, SUM(F608:G608)*$CY$113, SUM(F715:G715)*$CY$114)/config!$AC$16</f>
        <v>1.8</v>
      </c>
      <c r="DB69" s="68">
        <f>SUM(H73*$CY$108, H180*$CY$109, H287*$CY$110, H394*$CY$111, H501*$CY$112, H608*$CY$113, H715*$CY$114)/config!$AC$16</f>
        <v>0</v>
      </c>
      <c r="DC69" s="69">
        <f>SUM(SUM(I73:L73)*$CY$108, SUM(I180:L180)*$CY$109, SUM(I287:L287)*$CY$110, SUM(I394:L394)*$CY$111, SUM(I501:L501)*$CY$112, SUM(I608:L608)*$CY$113, SUM(I715:L715)*$CY$114)/config!$AC$16</f>
        <v>0</v>
      </c>
    </row>
    <row r="70" spans="1:107" ht="15" x14ac:dyDescent="0.25">
      <c r="A70" s="190" t="s">
        <v>102</v>
      </c>
      <c r="B70" s="642">
        <v>8</v>
      </c>
      <c r="C70" s="184">
        <v>0</v>
      </c>
      <c r="D70" s="184">
        <v>6</v>
      </c>
      <c r="E70" s="184">
        <v>0</v>
      </c>
      <c r="F70" s="184">
        <v>2</v>
      </c>
      <c r="G70" s="184">
        <v>0</v>
      </c>
      <c r="H70" s="184">
        <v>0</v>
      </c>
      <c r="I70" s="184">
        <v>0</v>
      </c>
      <c r="J70" s="184">
        <v>0</v>
      </c>
      <c r="K70" s="184">
        <v>0</v>
      </c>
      <c r="L70" s="184">
        <v>0</v>
      </c>
      <c r="M70" s="654" t="s">
        <v>24</v>
      </c>
      <c r="N70" s="669" t="s">
        <v>102</v>
      </c>
      <c r="O70" s="642">
        <v>0</v>
      </c>
      <c r="P70" s="184">
        <v>0</v>
      </c>
      <c r="Q70" s="184">
        <v>0</v>
      </c>
      <c r="R70" s="184">
        <v>0</v>
      </c>
      <c r="S70" s="184">
        <v>2</v>
      </c>
      <c r="T70" s="184">
        <v>1</v>
      </c>
      <c r="U70" s="184">
        <v>0</v>
      </c>
      <c r="V70" s="184">
        <v>2</v>
      </c>
      <c r="W70" s="184">
        <v>1</v>
      </c>
      <c r="X70" s="184">
        <v>2</v>
      </c>
      <c r="Y70" s="184">
        <v>0</v>
      </c>
      <c r="Z70" s="184">
        <v>0</v>
      </c>
      <c r="AA70" s="184">
        <v>0</v>
      </c>
      <c r="AB70" s="184">
        <v>0</v>
      </c>
      <c r="AC70" s="185">
        <v>41.6</v>
      </c>
      <c r="AD70" s="185" t="s">
        <v>24</v>
      </c>
      <c r="AE70" s="184">
        <v>0</v>
      </c>
      <c r="AF70" s="185">
        <v>0</v>
      </c>
      <c r="AG70" s="184">
        <v>0</v>
      </c>
      <c r="AH70" s="185">
        <v>0</v>
      </c>
      <c r="AI70" s="184">
        <v>0</v>
      </c>
      <c r="AJ70" s="643">
        <v>0</v>
      </c>
      <c r="AP70" s="401">
        <f t="shared" si="40"/>
        <v>4</v>
      </c>
      <c r="AR70" s="56">
        <f t="shared" si="41"/>
        <v>0.61458333333333326</v>
      </c>
      <c r="AS70" s="67">
        <f>SUM(C74,C181,C288,C395,C502,C609,C716)/config!$AC$13</f>
        <v>0.42857142857142855</v>
      </c>
      <c r="AT70" s="68">
        <f>SUM(D74:E74,D181:E181,D288:E288,D395:E395,D502:E502,D609:E609,D716:E716)/config!$AC$13</f>
        <v>9.2857142857142865</v>
      </c>
      <c r="AU70" s="68">
        <f>SUM(F74:G74,F181:G181,F288:G288,F395:G395,F502:G502,F609:G609,F716:G716)/config!$AC$13</f>
        <v>0.5714285714285714</v>
      </c>
      <c r="AV70" s="68">
        <f>SUM(H74,H181,H288,H395,H502,H609,H716)/config!$AC$13</f>
        <v>0</v>
      </c>
      <c r="AW70" s="69">
        <f>SUM(I74:L74,I181:L181,I288:L288,I395:L395,I502:L502,I609:L609,I716:L716)/config!$AC$13</f>
        <v>0.14285714285714285</v>
      </c>
      <c r="AY70" s="56">
        <f t="shared" si="42"/>
        <v>0.61458333333333326</v>
      </c>
      <c r="AZ70" s="70">
        <f t="shared" si="55"/>
        <v>8</v>
      </c>
      <c r="BA70" s="71">
        <f t="shared" si="56"/>
        <v>12</v>
      </c>
      <c r="BB70" s="71">
        <f t="shared" si="57"/>
        <v>9</v>
      </c>
      <c r="BC70" s="71">
        <f t="shared" si="58"/>
        <v>8</v>
      </c>
      <c r="BD70" s="71">
        <f t="shared" si="59"/>
        <v>9</v>
      </c>
      <c r="BE70" s="71">
        <f t="shared" si="60"/>
        <v>15</v>
      </c>
      <c r="BF70" s="72">
        <f t="shared" si="61"/>
        <v>12</v>
      </c>
      <c r="BG70" s="45"/>
      <c r="BH70" s="56">
        <f t="shared" si="62"/>
        <v>0.61458333333333326</v>
      </c>
      <c r="BI70" s="67">
        <f t="shared" si="63"/>
        <v>42.5</v>
      </c>
      <c r="BJ70" s="68">
        <f t="shared" si="64"/>
        <v>42.3</v>
      </c>
      <c r="BK70" s="68">
        <f t="shared" si="65"/>
        <v>39.200000000000003</v>
      </c>
      <c r="BL70" s="68">
        <f t="shared" si="66"/>
        <v>36.1</v>
      </c>
      <c r="BM70" s="68">
        <f t="shared" si="67"/>
        <v>41.6</v>
      </c>
      <c r="BN70" s="68">
        <f t="shared" si="68"/>
        <v>39.700000000000003</v>
      </c>
      <c r="BO70" s="69">
        <f t="shared" si="69"/>
        <v>39</v>
      </c>
      <c r="BP70" s="63"/>
      <c r="BQ70" s="64">
        <f t="shared" si="70"/>
        <v>0.61458333333333326</v>
      </c>
      <c r="BR70" s="67" t="str">
        <f t="shared" si="71"/>
        <v/>
      </c>
      <c r="BS70" s="68">
        <f t="shared" si="72"/>
        <v>51.2</v>
      </c>
      <c r="BT70" s="68" t="str">
        <f t="shared" si="73"/>
        <v/>
      </c>
      <c r="BU70" s="68" t="str">
        <f t="shared" si="74"/>
        <v/>
      </c>
      <c r="BV70" s="68" t="str">
        <f t="shared" si="75"/>
        <v/>
      </c>
      <c r="BW70" s="68">
        <f t="shared" si="76"/>
        <v>49.7</v>
      </c>
      <c r="BX70" s="69">
        <f t="shared" si="77"/>
        <v>41.8</v>
      </c>
      <c r="BY70" s="65"/>
      <c r="BZ70" s="66">
        <f t="shared" si="43"/>
        <v>40.057142857142857</v>
      </c>
      <c r="CA70" s="414">
        <f t="shared" si="31"/>
        <v>47.566666666666663</v>
      </c>
      <c r="CB70" s="416">
        <f t="shared" si="48"/>
        <v>60</v>
      </c>
      <c r="CC70" s="65"/>
      <c r="CD70" s="67">
        <f t="shared" si="78"/>
        <v>0</v>
      </c>
      <c r="CE70" s="68">
        <f t="shared" si="79"/>
        <v>0</v>
      </c>
      <c r="CF70" s="68">
        <f t="shared" si="80"/>
        <v>0</v>
      </c>
      <c r="CG70" s="68">
        <f t="shared" si="81"/>
        <v>0</v>
      </c>
      <c r="CH70" s="68">
        <f t="shared" si="82"/>
        <v>0</v>
      </c>
      <c r="CI70" s="68">
        <f t="shared" si="83"/>
        <v>0</v>
      </c>
      <c r="CJ70" s="69">
        <f t="shared" si="84"/>
        <v>1</v>
      </c>
      <c r="CM70" s="67">
        <f t="shared" si="44"/>
        <v>340</v>
      </c>
      <c r="CN70" s="68">
        <f t="shared" si="49"/>
        <v>507.59999999999997</v>
      </c>
      <c r="CO70" s="68">
        <f t="shared" si="50"/>
        <v>352.8</v>
      </c>
      <c r="CP70" s="68">
        <f t="shared" si="51"/>
        <v>288.8</v>
      </c>
      <c r="CQ70" s="68">
        <f t="shared" si="52"/>
        <v>374.40000000000003</v>
      </c>
      <c r="CR70" s="68">
        <f t="shared" si="53"/>
        <v>595.5</v>
      </c>
      <c r="CS70" s="69">
        <f t="shared" si="54"/>
        <v>468</v>
      </c>
      <c r="CU70" s="511">
        <f>SUM(SUMIF($AZ$8:$BF$8, {"NON";"NEUT"}, AZ70:BF70))/config!$AC$16</f>
        <v>9.8000000000000007</v>
      </c>
      <c r="CV70" s="512">
        <f t="shared" si="45"/>
        <v>0.61458333333333326</v>
      </c>
      <c r="CY70" s="67">
        <f>SUM(C74*$CY$108, C181*$CY$109, C288*$CY$110, C395*$CY$111, C502*$CY$112, C609*$CY$113, C716*$CY$114)/config!$AC$16</f>
        <v>0.2</v>
      </c>
      <c r="CZ70" s="68">
        <f>SUM(SUM(D74:E74)*$CY$108, SUM(D181:E181)*$CY$109, SUM(D288:E288)*$CY$110, SUM(D395:E395)*$CY$111, SUM(D502:E502)*$CY$112, SUM(D609:E609)*$CY$113, SUM(D716:E716)*$CY$114)/config!$AC$16</f>
        <v>8.8000000000000007</v>
      </c>
      <c r="DA70" s="68">
        <f>SUM(SUM(F74:G74)*$CY$108, SUM(F181:G181)*$CY$109, SUM(F288:G288)*$CY$110, SUM(F395:G395)*$CY$111, SUM(F502:G502)*$CY$112, SUM(F609:G609)*$CY$113, SUM(F716:G716)*$CY$114)/config!$AC$16</f>
        <v>0.6</v>
      </c>
      <c r="DB70" s="68">
        <f>SUM(H74*$CY$108, H181*$CY$109, H288*$CY$110, H395*$CY$111, H502*$CY$112, H609*$CY$113, H716*$CY$114)/config!$AC$16</f>
        <v>0</v>
      </c>
      <c r="DC70" s="69">
        <f>SUM(SUM(I74:L74)*$CY$108, SUM(I181:L181)*$CY$109, SUM(I288:L288)*$CY$110, SUM(I395:L395)*$CY$111, SUM(I502:L502)*$CY$112, SUM(I609:L609)*$CY$113, SUM(I716:L716)*$CY$114)/config!$AC$16</f>
        <v>0.2</v>
      </c>
    </row>
    <row r="71" spans="1:107" ht="15" x14ac:dyDescent="0.25">
      <c r="A71" s="190" t="s">
        <v>62</v>
      </c>
      <c r="B71" s="642">
        <v>15</v>
      </c>
      <c r="C71" s="184">
        <v>0</v>
      </c>
      <c r="D71" s="184">
        <v>11</v>
      </c>
      <c r="E71" s="184">
        <v>1</v>
      </c>
      <c r="F71" s="184">
        <v>3</v>
      </c>
      <c r="G71" s="184">
        <v>0</v>
      </c>
      <c r="H71" s="184">
        <v>0</v>
      </c>
      <c r="I71" s="184">
        <v>0</v>
      </c>
      <c r="J71" s="184">
        <v>0</v>
      </c>
      <c r="K71" s="184">
        <v>0</v>
      </c>
      <c r="L71" s="184">
        <v>0</v>
      </c>
      <c r="M71" s="654" t="s">
        <v>24</v>
      </c>
      <c r="N71" s="669" t="s">
        <v>62</v>
      </c>
      <c r="O71" s="642">
        <v>0</v>
      </c>
      <c r="P71" s="184">
        <v>0</v>
      </c>
      <c r="Q71" s="184">
        <v>0</v>
      </c>
      <c r="R71" s="184">
        <v>0</v>
      </c>
      <c r="S71" s="184">
        <v>1</v>
      </c>
      <c r="T71" s="184">
        <v>4</v>
      </c>
      <c r="U71" s="184">
        <v>2</v>
      </c>
      <c r="V71" s="184">
        <v>3</v>
      </c>
      <c r="W71" s="184">
        <v>3</v>
      </c>
      <c r="X71" s="184">
        <v>2</v>
      </c>
      <c r="Y71" s="184">
        <v>0</v>
      </c>
      <c r="Z71" s="184">
        <v>0</v>
      </c>
      <c r="AA71" s="184">
        <v>0</v>
      </c>
      <c r="AB71" s="184">
        <v>0</v>
      </c>
      <c r="AC71" s="185">
        <v>40.9</v>
      </c>
      <c r="AD71" s="185">
        <v>50</v>
      </c>
      <c r="AE71" s="184">
        <v>0</v>
      </c>
      <c r="AF71" s="185">
        <v>0</v>
      </c>
      <c r="AG71" s="184">
        <v>0</v>
      </c>
      <c r="AH71" s="185">
        <v>0</v>
      </c>
      <c r="AI71" s="184">
        <v>0</v>
      </c>
      <c r="AJ71" s="643">
        <v>0</v>
      </c>
      <c r="AP71" s="401">
        <f t="shared" si="40"/>
        <v>9</v>
      </c>
      <c r="AR71" s="56">
        <f t="shared" si="41"/>
        <v>0.62499999999999989</v>
      </c>
      <c r="AS71" s="67">
        <f>SUM(C75,C182,C289,C396,C503,C610,C717)/config!$AC$13</f>
        <v>0.42857142857142855</v>
      </c>
      <c r="AT71" s="68">
        <f>SUM(D75:E75,D182:E182,D289:E289,D396:E396,D503:E503,D610:E610,D717:E717)/config!$AC$13</f>
        <v>12</v>
      </c>
      <c r="AU71" s="68">
        <f>SUM(F75:G75,F182:G182,F289:G289,F396:G396,F503:G503,F610:G610,F717:G717)/config!$AC$13</f>
        <v>1.2857142857142858</v>
      </c>
      <c r="AV71" s="68">
        <f>SUM(H75,H182,H289,H396,H503,H610,H717)/config!$AC$13</f>
        <v>0</v>
      </c>
      <c r="AW71" s="69">
        <f>SUM(I75:L75,I182:L182,I289:L289,I396:L396,I503:L503,I610:L610,I717:L717)/config!$AC$13</f>
        <v>0.14285714285714285</v>
      </c>
      <c r="AY71" s="56">
        <f t="shared" si="42"/>
        <v>0.62499999999999989</v>
      </c>
      <c r="AZ71" s="70">
        <f t="shared" si="55"/>
        <v>15</v>
      </c>
      <c r="BA71" s="71">
        <f t="shared" si="56"/>
        <v>13</v>
      </c>
      <c r="BB71" s="71">
        <f t="shared" si="57"/>
        <v>10</v>
      </c>
      <c r="BC71" s="71">
        <f t="shared" si="58"/>
        <v>16</v>
      </c>
      <c r="BD71" s="71">
        <f t="shared" si="59"/>
        <v>19</v>
      </c>
      <c r="BE71" s="71">
        <f t="shared" si="60"/>
        <v>10</v>
      </c>
      <c r="BF71" s="72">
        <f t="shared" si="61"/>
        <v>14</v>
      </c>
      <c r="BG71" s="45"/>
      <c r="BH71" s="56">
        <f t="shared" si="62"/>
        <v>0.62499999999999989</v>
      </c>
      <c r="BI71" s="67">
        <f t="shared" si="63"/>
        <v>42.7</v>
      </c>
      <c r="BJ71" s="68">
        <f t="shared" si="64"/>
        <v>39.9</v>
      </c>
      <c r="BK71" s="68">
        <f t="shared" si="65"/>
        <v>37.700000000000003</v>
      </c>
      <c r="BL71" s="68">
        <f t="shared" si="66"/>
        <v>43.7</v>
      </c>
      <c r="BM71" s="68">
        <f t="shared" si="67"/>
        <v>33.299999999999997</v>
      </c>
      <c r="BN71" s="68">
        <f t="shared" si="68"/>
        <v>45.7</v>
      </c>
      <c r="BO71" s="69">
        <f t="shared" si="69"/>
        <v>34.9</v>
      </c>
      <c r="BP71" s="63"/>
      <c r="BQ71" s="64">
        <f t="shared" si="70"/>
        <v>0.62499999999999989</v>
      </c>
      <c r="BR71" s="67">
        <f t="shared" si="71"/>
        <v>52</v>
      </c>
      <c r="BS71" s="68">
        <f t="shared" si="72"/>
        <v>50.7</v>
      </c>
      <c r="BT71" s="68" t="str">
        <f t="shared" si="73"/>
        <v/>
      </c>
      <c r="BU71" s="68">
        <f t="shared" si="74"/>
        <v>50.6</v>
      </c>
      <c r="BV71" s="68">
        <f t="shared" si="75"/>
        <v>42.7</v>
      </c>
      <c r="BW71" s="68" t="str">
        <f t="shared" si="76"/>
        <v/>
      </c>
      <c r="BX71" s="69">
        <f t="shared" si="77"/>
        <v>52.5</v>
      </c>
      <c r="BY71" s="65"/>
      <c r="BZ71" s="66">
        <f t="shared" si="43"/>
        <v>39.699999999999996</v>
      </c>
      <c r="CA71" s="414">
        <f t="shared" si="31"/>
        <v>49.7</v>
      </c>
      <c r="CB71" s="416">
        <f t="shared" si="48"/>
        <v>60</v>
      </c>
      <c r="CC71" s="65"/>
      <c r="CD71" s="67">
        <f t="shared" si="78"/>
        <v>0</v>
      </c>
      <c r="CE71" s="68">
        <f t="shared" si="79"/>
        <v>0</v>
      </c>
      <c r="CF71" s="68">
        <f t="shared" si="80"/>
        <v>0</v>
      </c>
      <c r="CG71" s="68">
        <f t="shared" si="81"/>
        <v>0</v>
      </c>
      <c r="CH71" s="68">
        <f t="shared" si="82"/>
        <v>0</v>
      </c>
      <c r="CI71" s="68">
        <f t="shared" si="83"/>
        <v>0</v>
      </c>
      <c r="CJ71" s="69">
        <f t="shared" si="84"/>
        <v>0</v>
      </c>
      <c r="CM71" s="67">
        <f t="shared" si="44"/>
        <v>640.5</v>
      </c>
      <c r="CN71" s="68">
        <f t="shared" si="49"/>
        <v>518.69999999999993</v>
      </c>
      <c r="CO71" s="68">
        <f t="shared" si="50"/>
        <v>377</v>
      </c>
      <c r="CP71" s="68">
        <f t="shared" si="51"/>
        <v>699.2</v>
      </c>
      <c r="CQ71" s="68">
        <f t="shared" si="52"/>
        <v>632.69999999999993</v>
      </c>
      <c r="CR71" s="68">
        <f t="shared" si="53"/>
        <v>457</v>
      </c>
      <c r="CS71" s="69">
        <f t="shared" si="54"/>
        <v>488.59999999999997</v>
      </c>
      <c r="CU71" s="511">
        <f>SUM(SUMIF($AZ$8:$BF$8, {"NON";"NEUT"}, AZ71:BF71))/config!$AC$16</f>
        <v>13.6</v>
      </c>
      <c r="CV71" s="512">
        <f t="shared" si="45"/>
        <v>0.62499999999999989</v>
      </c>
      <c r="CY71" s="67">
        <f>SUM(C75*$CY$108, C182*$CY$109, C289*$CY$110, C396*$CY$111, C503*$CY$112, C610*$CY$113, C717*$CY$114)/config!$AC$16</f>
        <v>0.4</v>
      </c>
      <c r="CZ71" s="68">
        <f>SUM(SUM(D75:E75)*$CY$108, SUM(D182:E182)*$CY$109, SUM(D289:E289)*$CY$110, SUM(D396:E396)*$CY$111, SUM(D503:E503)*$CY$112, SUM(D610:E610)*$CY$113, SUM(D717:E717)*$CY$114)/config!$AC$16</f>
        <v>11.8</v>
      </c>
      <c r="DA71" s="68">
        <f>SUM(SUM(F75:G75)*$CY$108, SUM(F182:G182)*$CY$109, SUM(F289:G289)*$CY$110, SUM(F396:G396)*$CY$111, SUM(F503:G503)*$CY$112, SUM(F610:G610)*$CY$113, SUM(F717:G717)*$CY$114)/config!$AC$16</f>
        <v>1.2</v>
      </c>
      <c r="DB71" s="68">
        <f>SUM(H75*$CY$108, H182*$CY$109, H289*$CY$110, H396*$CY$111, H503*$CY$112, H610*$CY$113, H717*$CY$114)/config!$AC$16</f>
        <v>0</v>
      </c>
      <c r="DC71" s="69">
        <f>SUM(SUM(I75:L75)*$CY$108, SUM(I182:L182)*$CY$109, SUM(I289:L289)*$CY$110, SUM(I396:L396)*$CY$111, SUM(I503:L503)*$CY$112, SUM(I610:L610)*$CY$113, SUM(I717:L717)*$CY$114)/config!$AC$16</f>
        <v>0.2</v>
      </c>
    </row>
    <row r="72" spans="1:107" ht="15" x14ac:dyDescent="0.25">
      <c r="A72" s="190" t="s">
        <v>103</v>
      </c>
      <c r="B72" s="642">
        <v>8</v>
      </c>
      <c r="C72" s="184">
        <v>0</v>
      </c>
      <c r="D72" s="184">
        <v>6</v>
      </c>
      <c r="E72" s="184">
        <v>1</v>
      </c>
      <c r="F72" s="184">
        <v>1</v>
      </c>
      <c r="G72" s="184">
        <v>0</v>
      </c>
      <c r="H72" s="184">
        <v>0</v>
      </c>
      <c r="I72" s="184">
        <v>0</v>
      </c>
      <c r="J72" s="184">
        <v>0</v>
      </c>
      <c r="K72" s="184">
        <v>0</v>
      </c>
      <c r="L72" s="184">
        <v>0</v>
      </c>
      <c r="M72" s="654" t="s">
        <v>24</v>
      </c>
      <c r="N72" s="669" t="s">
        <v>103</v>
      </c>
      <c r="O72" s="642">
        <v>0</v>
      </c>
      <c r="P72" s="184">
        <v>0</v>
      </c>
      <c r="Q72" s="184">
        <v>0</v>
      </c>
      <c r="R72" s="184">
        <v>0</v>
      </c>
      <c r="S72" s="184">
        <v>0</v>
      </c>
      <c r="T72" s="184">
        <v>0</v>
      </c>
      <c r="U72" s="184">
        <v>4</v>
      </c>
      <c r="V72" s="184">
        <v>1</v>
      </c>
      <c r="W72" s="184">
        <v>2</v>
      </c>
      <c r="X72" s="184">
        <v>1</v>
      </c>
      <c r="Y72" s="184">
        <v>0</v>
      </c>
      <c r="Z72" s="184">
        <v>0</v>
      </c>
      <c r="AA72" s="184">
        <v>0</v>
      </c>
      <c r="AB72" s="184">
        <v>0</v>
      </c>
      <c r="AC72" s="185">
        <v>42.7</v>
      </c>
      <c r="AD72" s="185" t="s">
        <v>24</v>
      </c>
      <c r="AE72" s="184">
        <v>0</v>
      </c>
      <c r="AF72" s="185">
        <v>0</v>
      </c>
      <c r="AG72" s="184">
        <v>0</v>
      </c>
      <c r="AH72" s="185">
        <v>0</v>
      </c>
      <c r="AI72" s="184">
        <v>0</v>
      </c>
      <c r="AJ72" s="643">
        <v>0</v>
      </c>
      <c r="AP72" s="401">
        <f t="shared" si="40"/>
        <v>4</v>
      </c>
      <c r="AR72" s="56">
        <f t="shared" si="41"/>
        <v>0.63541666666666652</v>
      </c>
      <c r="AS72" s="67">
        <f>SUM(C76,C183,C290,C397,C504,C611,C718)/config!$AC$13</f>
        <v>0.14285714285714285</v>
      </c>
      <c r="AT72" s="68">
        <f>SUM(D76:E76,D183:E183,D290:E290,D397:E397,D504:E504,D611:E611,D718:E718)/config!$AC$13</f>
        <v>9</v>
      </c>
      <c r="AU72" s="68">
        <f>SUM(F76:G76,F183:G183,F290:G290,F397:G397,F504:G504,F611:G611,F718:G718)/config!$AC$13</f>
        <v>0.5714285714285714</v>
      </c>
      <c r="AV72" s="68">
        <f>SUM(H76,H183,H290,H397,H504,H611,H718)/config!$AC$13</f>
        <v>0</v>
      </c>
      <c r="AW72" s="69">
        <f>SUM(I76:L76,I183:L183,I290:L290,I397:L397,I504:L504,I611:L611,I718:L718)/config!$AC$13</f>
        <v>0.42857142857142855</v>
      </c>
      <c r="AY72" s="56">
        <f t="shared" si="42"/>
        <v>0.63541666666666652</v>
      </c>
      <c r="AZ72" s="70">
        <f t="shared" si="55"/>
        <v>11</v>
      </c>
      <c r="BA72" s="71">
        <f t="shared" si="56"/>
        <v>8</v>
      </c>
      <c r="BB72" s="71">
        <f t="shared" si="57"/>
        <v>11</v>
      </c>
      <c r="BC72" s="71">
        <f t="shared" si="58"/>
        <v>12</v>
      </c>
      <c r="BD72" s="71">
        <f t="shared" si="59"/>
        <v>7</v>
      </c>
      <c r="BE72" s="71">
        <f t="shared" si="60"/>
        <v>13</v>
      </c>
      <c r="BF72" s="72">
        <f t="shared" si="61"/>
        <v>9</v>
      </c>
      <c r="BG72" s="45"/>
      <c r="BH72" s="56">
        <f t="shared" si="62"/>
        <v>0.63541666666666652</v>
      </c>
      <c r="BI72" s="67">
        <f t="shared" si="63"/>
        <v>35.799999999999997</v>
      </c>
      <c r="BJ72" s="68">
        <f t="shared" si="64"/>
        <v>35.9</v>
      </c>
      <c r="BK72" s="68">
        <f t="shared" si="65"/>
        <v>34.4</v>
      </c>
      <c r="BL72" s="68">
        <f t="shared" si="66"/>
        <v>34.200000000000003</v>
      </c>
      <c r="BM72" s="68">
        <f t="shared" si="67"/>
        <v>33.799999999999997</v>
      </c>
      <c r="BN72" s="68">
        <f t="shared" si="68"/>
        <v>44</v>
      </c>
      <c r="BO72" s="69">
        <f t="shared" si="69"/>
        <v>39.4</v>
      </c>
      <c r="BP72" s="63"/>
      <c r="BQ72" s="64">
        <f t="shared" si="70"/>
        <v>0.63541666666666652</v>
      </c>
      <c r="BR72" s="67">
        <f t="shared" si="71"/>
        <v>42.6</v>
      </c>
      <c r="BS72" s="68" t="str">
        <f t="shared" si="72"/>
        <v/>
      </c>
      <c r="BT72" s="68">
        <f t="shared" si="73"/>
        <v>43</v>
      </c>
      <c r="BU72" s="68">
        <f t="shared" si="74"/>
        <v>40.200000000000003</v>
      </c>
      <c r="BV72" s="68" t="str">
        <f t="shared" si="75"/>
        <v/>
      </c>
      <c r="BW72" s="68">
        <f t="shared" si="76"/>
        <v>53.4</v>
      </c>
      <c r="BX72" s="69" t="str">
        <f t="shared" si="77"/>
        <v/>
      </c>
      <c r="BY72" s="65"/>
      <c r="BZ72" s="66">
        <f t="shared" si="43"/>
        <v>36.785714285714285</v>
      </c>
      <c r="CA72" s="414">
        <f t="shared" si="31"/>
        <v>44.8</v>
      </c>
      <c r="CB72" s="416">
        <f t="shared" si="48"/>
        <v>60</v>
      </c>
      <c r="CC72" s="65"/>
      <c r="CD72" s="67">
        <f t="shared" si="78"/>
        <v>0</v>
      </c>
      <c r="CE72" s="68">
        <f t="shared" si="79"/>
        <v>0</v>
      </c>
      <c r="CF72" s="68">
        <f t="shared" si="80"/>
        <v>0</v>
      </c>
      <c r="CG72" s="68">
        <f t="shared" si="81"/>
        <v>0</v>
      </c>
      <c r="CH72" s="68">
        <f t="shared" si="82"/>
        <v>0</v>
      </c>
      <c r="CI72" s="68">
        <f t="shared" si="83"/>
        <v>1</v>
      </c>
      <c r="CJ72" s="69">
        <f t="shared" si="84"/>
        <v>0</v>
      </c>
      <c r="CM72" s="67">
        <f t="shared" si="44"/>
        <v>393.79999999999995</v>
      </c>
      <c r="CN72" s="68">
        <f t="shared" si="49"/>
        <v>287.2</v>
      </c>
      <c r="CO72" s="68">
        <f t="shared" si="50"/>
        <v>378.4</v>
      </c>
      <c r="CP72" s="68">
        <f t="shared" si="51"/>
        <v>410.40000000000003</v>
      </c>
      <c r="CQ72" s="68">
        <f t="shared" si="52"/>
        <v>236.59999999999997</v>
      </c>
      <c r="CR72" s="68">
        <f t="shared" si="53"/>
        <v>572</v>
      </c>
      <c r="CS72" s="69">
        <f t="shared" si="54"/>
        <v>354.59999999999997</v>
      </c>
      <c r="CU72" s="511">
        <f>SUM(SUMIF($AZ$8:$BF$8, {"NON";"NEUT"}, AZ72:BF72))/config!$AC$16</f>
        <v>10.199999999999999</v>
      </c>
      <c r="CV72" s="512">
        <f t="shared" si="45"/>
        <v>0.63541666666666652</v>
      </c>
      <c r="CY72" s="67">
        <f>SUM(C76*$CY$108, C183*$CY$109, C290*$CY$110, C397*$CY$111, C504*$CY$112, C611*$CY$113, C718*$CY$114)/config!$AC$16</f>
        <v>0.2</v>
      </c>
      <c r="CZ72" s="68">
        <f>SUM(SUM(D76:E76)*$CY$108, SUM(D183:E183)*$CY$109, SUM(D290:E290)*$CY$110, SUM(D397:E397)*$CY$111, SUM(D504:E504)*$CY$112, SUM(D611:E611)*$CY$113, SUM(D718:E718)*$CY$114)/config!$AC$16</f>
        <v>8.8000000000000007</v>
      </c>
      <c r="DA72" s="68">
        <f>SUM(SUM(F76:G76)*$CY$108, SUM(F183:G183)*$CY$109, SUM(F290:G290)*$CY$110, SUM(F397:G397)*$CY$111, SUM(F504:G504)*$CY$112, SUM(F611:G611)*$CY$113, SUM(F718:G718)*$CY$114)/config!$AC$16</f>
        <v>0.6</v>
      </c>
      <c r="DB72" s="68">
        <f>SUM(H76*$CY$108, H183*$CY$109, H290*$CY$110, H397*$CY$111, H504*$CY$112, H611*$CY$113, H718*$CY$114)/config!$AC$16</f>
        <v>0</v>
      </c>
      <c r="DC72" s="69">
        <f>SUM(SUM(I76:L76)*$CY$108, SUM(I183:L183)*$CY$109, SUM(I290:L290)*$CY$110, SUM(I397:L397)*$CY$111, SUM(I504:L504)*$CY$112, SUM(I611:L611)*$CY$113, SUM(I718:L718)*$CY$114)/config!$AC$16</f>
        <v>0.6</v>
      </c>
    </row>
    <row r="73" spans="1:107" ht="15" x14ac:dyDescent="0.25">
      <c r="A73" s="190" t="s">
        <v>104</v>
      </c>
      <c r="B73" s="642">
        <v>10</v>
      </c>
      <c r="C73" s="184">
        <v>0</v>
      </c>
      <c r="D73" s="184">
        <v>9</v>
      </c>
      <c r="E73" s="184">
        <v>0</v>
      </c>
      <c r="F73" s="184">
        <v>1</v>
      </c>
      <c r="G73" s="184">
        <v>0</v>
      </c>
      <c r="H73" s="184">
        <v>0</v>
      </c>
      <c r="I73" s="184">
        <v>0</v>
      </c>
      <c r="J73" s="184">
        <v>0</v>
      </c>
      <c r="K73" s="184">
        <v>0</v>
      </c>
      <c r="L73" s="184">
        <v>0</v>
      </c>
      <c r="M73" s="654" t="s">
        <v>24</v>
      </c>
      <c r="N73" s="669" t="s">
        <v>104</v>
      </c>
      <c r="O73" s="642">
        <v>0</v>
      </c>
      <c r="P73" s="184">
        <v>0</v>
      </c>
      <c r="Q73" s="184">
        <v>0</v>
      </c>
      <c r="R73" s="184">
        <v>0</v>
      </c>
      <c r="S73" s="184">
        <v>0</v>
      </c>
      <c r="T73" s="184">
        <v>1</v>
      </c>
      <c r="U73" s="184">
        <v>2</v>
      </c>
      <c r="V73" s="184">
        <v>4</v>
      </c>
      <c r="W73" s="184">
        <v>2</v>
      </c>
      <c r="X73" s="184">
        <v>1</v>
      </c>
      <c r="Y73" s="184">
        <v>0</v>
      </c>
      <c r="Z73" s="184">
        <v>0</v>
      </c>
      <c r="AA73" s="184">
        <v>0</v>
      </c>
      <c r="AB73" s="184">
        <v>0</v>
      </c>
      <c r="AC73" s="185">
        <v>43</v>
      </c>
      <c r="AD73" s="185" t="s">
        <v>24</v>
      </c>
      <c r="AE73" s="184">
        <v>0</v>
      </c>
      <c r="AF73" s="185">
        <v>0</v>
      </c>
      <c r="AG73" s="184">
        <v>0</v>
      </c>
      <c r="AH73" s="185">
        <v>0</v>
      </c>
      <c r="AI73" s="184">
        <v>0</v>
      </c>
      <c r="AJ73" s="643">
        <v>0</v>
      </c>
      <c r="AP73" s="401">
        <f t="shared" si="40"/>
        <v>9</v>
      </c>
      <c r="AR73" s="56">
        <f t="shared" si="41"/>
        <v>0.64583333333333315</v>
      </c>
      <c r="AS73" s="67">
        <f>SUM(C77,C184,C291,C398,C505,C612,C719)/config!$AC$13</f>
        <v>0.2857142857142857</v>
      </c>
      <c r="AT73" s="68">
        <f>SUM(D77:E77,D184:E184,D291:E291,D398:E398,D505:E505,D612:E612,D719:E719)/config!$AC$13</f>
        <v>15.714285714285714</v>
      </c>
      <c r="AU73" s="68">
        <f>SUM(F77:G77,F184:G184,F291:G291,F398:G398,F505:G505,F612:G612,F719:G719)/config!$AC$13</f>
        <v>1.2857142857142858</v>
      </c>
      <c r="AV73" s="68">
        <f>SUM(H77,H184,H291,H398,H505,H612,H719)/config!$AC$13</f>
        <v>0</v>
      </c>
      <c r="AW73" s="69">
        <f>SUM(I77:L77,I184:L184,I291:L291,I398:L398,I505:L505,I612:L612,I719:L719)/config!$AC$13</f>
        <v>0</v>
      </c>
      <c r="AY73" s="56">
        <f t="shared" si="42"/>
        <v>0.64583333333333315</v>
      </c>
      <c r="AZ73" s="70">
        <f t="shared" si="55"/>
        <v>24</v>
      </c>
      <c r="BA73" s="71">
        <f t="shared" si="56"/>
        <v>9</v>
      </c>
      <c r="BB73" s="71">
        <f t="shared" si="57"/>
        <v>23</v>
      </c>
      <c r="BC73" s="71">
        <f t="shared" si="58"/>
        <v>18</v>
      </c>
      <c r="BD73" s="71">
        <f t="shared" si="59"/>
        <v>16</v>
      </c>
      <c r="BE73" s="71">
        <f t="shared" si="60"/>
        <v>11</v>
      </c>
      <c r="BF73" s="72">
        <f t="shared" si="61"/>
        <v>20</v>
      </c>
      <c r="BG73" s="45"/>
      <c r="BH73" s="56">
        <f t="shared" si="62"/>
        <v>0.64583333333333315</v>
      </c>
      <c r="BI73" s="67">
        <f t="shared" si="63"/>
        <v>42.5</v>
      </c>
      <c r="BJ73" s="68">
        <f t="shared" si="64"/>
        <v>37</v>
      </c>
      <c r="BK73" s="68">
        <f t="shared" si="65"/>
        <v>34.4</v>
      </c>
      <c r="BL73" s="68">
        <f t="shared" si="66"/>
        <v>35.700000000000003</v>
      </c>
      <c r="BM73" s="68">
        <f t="shared" si="67"/>
        <v>31.2</v>
      </c>
      <c r="BN73" s="68">
        <f t="shared" si="68"/>
        <v>42.5</v>
      </c>
      <c r="BO73" s="69">
        <f t="shared" si="69"/>
        <v>39.9</v>
      </c>
      <c r="BP73" s="63"/>
      <c r="BQ73" s="64">
        <f t="shared" si="70"/>
        <v>0.64583333333333315</v>
      </c>
      <c r="BR73" s="67">
        <f t="shared" si="71"/>
        <v>49.9</v>
      </c>
      <c r="BS73" s="68" t="str">
        <f t="shared" si="72"/>
        <v/>
      </c>
      <c r="BT73" s="68">
        <f t="shared" si="73"/>
        <v>40.5</v>
      </c>
      <c r="BU73" s="68">
        <f t="shared" si="74"/>
        <v>41.2</v>
      </c>
      <c r="BV73" s="68">
        <f t="shared" si="75"/>
        <v>36.6</v>
      </c>
      <c r="BW73" s="68">
        <f t="shared" si="76"/>
        <v>49.8</v>
      </c>
      <c r="BX73" s="69">
        <f t="shared" si="77"/>
        <v>45.3</v>
      </c>
      <c r="BY73" s="65"/>
      <c r="BZ73" s="66">
        <f t="shared" si="43"/>
        <v>37.6</v>
      </c>
      <c r="CA73" s="414">
        <f t="shared" si="31"/>
        <v>43.883333333333333</v>
      </c>
      <c r="CB73" s="416">
        <f t="shared" si="48"/>
        <v>60</v>
      </c>
      <c r="CC73" s="65"/>
      <c r="CD73" s="67">
        <f t="shared" si="78"/>
        <v>0</v>
      </c>
      <c r="CE73" s="68">
        <f t="shared" si="79"/>
        <v>0</v>
      </c>
      <c r="CF73" s="68">
        <f t="shared" si="80"/>
        <v>0</v>
      </c>
      <c r="CG73" s="68">
        <f t="shared" si="81"/>
        <v>0</v>
      </c>
      <c r="CH73" s="68">
        <f t="shared" si="82"/>
        <v>0</v>
      </c>
      <c r="CI73" s="68">
        <f t="shared" si="83"/>
        <v>0</v>
      </c>
      <c r="CJ73" s="69">
        <f t="shared" si="84"/>
        <v>0</v>
      </c>
      <c r="CM73" s="67">
        <f t="shared" si="44"/>
        <v>1020</v>
      </c>
      <c r="CN73" s="68">
        <f t="shared" si="49"/>
        <v>333</v>
      </c>
      <c r="CO73" s="68">
        <f t="shared" si="50"/>
        <v>791.19999999999993</v>
      </c>
      <c r="CP73" s="68">
        <f t="shared" si="51"/>
        <v>642.6</v>
      </c>
      <c r="CQ73" s="68">
        <f t="shared" si="52"/>
        <v>499.2</v>
      </c>
      <c r="CR73" s="68">
        <f t="shared" si="53"/>
        <v>467.5</v>
      </c>
      <c r="CS73" s="69">
        <f t="shared" si="54"/>
        <v>798</v>
      </c>
      <c r="CU73" s="511">
        <f>SUM(SUMIF($AZ$8:$BF$8, {"NON";"NEUT"}, AZ73:BF73))/config!$AC$16</f>
        <v>18.8</v>
      </c>
      <c r="CV73" s="512">
        <f t="shared" si="45"/>
        <v>0.64583333333333315</v>
      </c>
      <c r="CY73" s="67">
        <f>SUM(C77*$CY$108, C184*$CY$109, C291*$CY$110, C398*$CY$111, C505*$CY$112, C612*$CY$113, C719*$CY$114)/config!$AC$16</f>
        <v>0.2</v>
      </c>
      <c r="CZ73" s="68">
        <f>SUM(SUM(D77:E77)*$CY$108, SUM(D184:E184)*$CY$109, SUM(D291:E291)*$CY$110, SUM(D398:E398)*$CY$111, SUM(D505:E505)*$CY$112, SUM(D612:E612)*$CY$113, SUM(D719:E719)*$CY$114)/config!$AC$16</f>
        <v>16.8</v>
      </c>
      <c r="DA73" s="68">
        <f>SUM(SUM(F77:G77)*$CY$108, SUM(F184:G184)*$CY$109, SUM(F291:G291)*$CY$110, SUM(F398:G398)*$CY$111, SUM(F505:G505)*$CY$112, SUM(F612:G612)*$CY$113, SUM(F719:G719)*$CY$114)/config!$AC$16</f>
        <v>1.8</v>
      </c>
      <c r="DB73" s="68">
        <f>SUM(H77*$CY$108, H184*$CY$109, H291*$CY$110, H398*$CY$111, H505*$CY$112, H612*$CY$113, H719*$CY$114)/config!$AC$16</f>
        <v>0</v>
      </c>
      <c r="DC73" s="69">
        <f>SUM(SUM(I77:L77)*$CY$108, SUM(I184:L184)*$CY$109, SUM(I291:L291)*$CY$110, SUM(I398:L398)*$CY$111, SUM(I505:L505)*$CY$112, SUM(I612:L612)*$CY$113, SUM(I719:L719)*$CY$114)/config!$AC$16</f>
        <v>0</v>
      </c>
    </row>
    <row r="74" spans="1:107" ht="15" x14ac:dyDescent="0.25">
      <c r="A74" s="190" t="s">
        <v>105</v>
      </c>
      <c r="B74" s="642">
        <v>8</v>
      </c>
      <c r="C74" s="184">
        <v>0</v>
      </c>
      <c r="D74" s="184">
        <v>7</v>
      </c>
      <c r="E74" s="184">
        <v>0</v>
      </c>
      <c r="F74" s="184">
        <v>1</v>
      </c>
      <c r="G74" s="184">
        <v>0</v>
      </c>
      <c r="H74" s="184">
        <v>0</v>
      </c>
      <c r="I74" s="184">
        <v>0</v>
      </c>
      <c r="J74" s="184">
        <v>0</v>
      </c>
      <c r="K74" s="184">
        <v>0</v>
      </c>
      <c r="L74" s="184">
        <v>0</v>
      </c>
      <c r="M74" s="654" t="s">
        <v>24</v>
      </c>
      <c r="N74" s="669" t="s">
        <v>105</v>
      </c>
      <c r="O74" s="642">
        <v>0</v>
      </c>
      <c r="P74" s="184">
        <v>0</v>
      </c>
      <c r="Q74" s="184">
        <v>0</v>
      </c>
      <c r="R74" s="184">
        <v>0</v>
      </c>
      <c r="S74" s="184">
        <v>0</v>
      </c>
      <c r="T74" s="184">
        <v>0</v>
      </c>
      <c r="U74" s="184">
        <v>3</v>
      </c>
      <c r="V74" s="184">
        <v>2</v>
      </c>
      <c r="W74" s="184">
        <v>2</v>
      </c>
      <c r="X74" s="184">
        <v>1</v>
      </c>
      <c r="Y74" s="184">
        <v>0</v>
      </c>
      <c r="Z74" s="184">
        <v>0</v>
      </c>
      <c r="AA74" s="184">
        <v>0</v>
      </c>
      <c r="AB74" s="184">
        <v>0</v>
      </c>
      <c r="AC74" s="185">
        <v>42.5</v>
      </c>
      <c r="AD74" s="185" t="s">
        <v>24</v>
      </c>
      <c r="AE74" s="184">
        <v>0</v>
      </c>
      <c r="AF74" s="185">
        <v>0</v>
      </c>
      <c r="AG74" s="184">
        <v>0</v>
      </c>
      <c r="AH74" s="185">
        <v>0</v>
      </c>
      <c r="AI74" s="184">
        <v>0</v>
      </c>
      <c r="AJ74" s="643">
        <v>0</v>
      </c>
      <c r="AP74" s="401">
        <f t="shared" si="40"/>
        <v>1</v>
      </c>
      <c r="AR74" s="56">
        <f t="shared" si="41"/>
        <v>0.65624999999999978</v>
      </c>
      <c r="AS74" s="67">
        <f>SUM(C78,C185,C292,C399,C506,C613,C720)/config!$AC$13</f>
        <v>0</v>
      </c>
      <c r="AT74" s="68">
        <f>SUM(D78:E78,D185:E185,D292:E292,D399:E399,D506:E506,D613:E613,D720:E720)/config!$AC$13</f>
        <v>12.714285714285714</v>
      </c>
      <c r="AU74" s="68">
        <f>SUM(F78:G78,F185:G185,F292:G292,F399:G399,F506:G506,F613:G613,F720:G720)/config!$AC$13</f>
        <v>0.2857142857142857</v>
      </c>
      <c r="AV74" s="68">
        <f>SUM(H78,H185,H292,H399,H506,H613,H720)/config!$AC$13</f>
        <v>0</v>
      </c>
      <c r="AW74" s="69">
        <f>SUM(I78:L78,I185:L185,I292:L292,I399:L399,I506:L506,I613:L613,I720:L720)/config!$AC$13</f>
        <v>0</v>
      </c>
      <c r="AY74" s="56">
        <f t="shared" si="42"/>
        <v>0.65624999999999978</v>
      </c>
      <c r="AZ74" s="70">
        <f t="shared" si="55"/>
        <v>12</v>
      </c>
      <c r="BA74" s="71">
        <f t="shared" si="56"/>
        <v>12</v>
      </c>
      <c r="BB74" s="71">
        <f t="shared" si="57"/>
        <v>17</v>
      </c>
      <c r="BC74" s="71">
        <f t="shared" si="58"/>
        <v>11</v>
      </c>
      <c r="BD74" s="71">
        <f t="shared" si="59"/>
        <v>20</v>
      </c>
      <c r="BE74" s="71">
        <f t="shared" si="60"/>
        <v>8</v>
      </c>
      <c r="BF74" s="72">
        <f t="shared" si="61"/>
        <v>11</v>
      </c>
      <c r="BG74" s="45"/>
      <c r="BH74" s="56">
        <f t="shared" si="62"/>
        <v>0.65624999999999978</v>
      </c>
      <c r="BI74" s="67">
        <f t="shared" si="63"/>
        <v>39</v>
      </c>
      <c r="BJ74" s="68">
        <f t="shared" si="64"/>
        <v>38</v>
      </c>
      <c r="BK74" s="68">
        <f t="shared" si="65"/>
        <v>33.700000000000003</v>
      </c>
      <c r="BL74" s="68">
        <f t="shared" si="66"/>
        <v>41.3</v>
      </c>
      <c r="BM74" s="68">
        <f t="shared" si="67"/>
        <v>35.5</v>
      </c>
      <c r="BN74" s="68">
        <f t="shared" si="68"/>
        <v>45.2</v>
      </c>
      <c r="BO74" s="69">
        <f t="shared" si="69"/>
        <v>43.7</v>
      </c>
      <c r="BP74" s="63"/>
      <c r="BQ74" s="64">
        <f t="shared" si="70"/>
        <v>0.65624999999999978</v>
      </c>
      <c r="BR74" s="67">
        <f t="shared" si="71"/>
        <v>50.7</v>
      </c>
      <c r="BS74" s="68">
        <f t="shared" si="72"/>
        <v>45.7</v>
      </c>
      <c r="BT74" s="68">
        <f t="shared" si="73"/>
        <v>42</v>
      </c>
      <c r="BU74" s="68">
        <f t="shared" si="74"/>
        <v>46.4</v>
      </c>
      <c r="BV74" s="68">
        <f t="shared" si="75"/>
        <v>41.4</v>
      </c>
      <c r="BW74" s="68" t="str">
        <f t="shared" si="76"/>
        <v/>
      </c>
      <c r="BX74" s="69">
        <f t="shared" si="77"/>
        <v>54</v>
      </c>
      <c r="BY74" s="65"/>
      <c r="BZ74" s="66">
        <f t="shared" si="43"/>
        <v>39.48571428571428</v>
      </c>
      <c r="CA74" s="414">
        <f t="shared" si="31"/>
        <v>46.70000000000001</v>
      </c>
      <c r="CB74" s="416">
        <f t="shared" si="48"/>
        <v>60</v>
      </c>
      <c r="CC74" s="65"/>
      <c r="CD74" s="67">
        <f t="shared" si="78"/>
        <v>0</v>
      </c>
      <c r="CE74" s="68">
        <f t="shared" si="79"/>
        <v>0</v>
      </c>
      <c r="CF74" s="68">
        <f t="shared" si="80"/>
        <v>0</v>
      </c>
      <c r="CG74" s="68">
        <f t="shared" si="81"/>
        <v>0</v>
      </c>
      <c r="CH74" s="68">
        <f t="shared" si="82"/>
        <v>0</v>
      </c>
      <c r="CI74" s="68">
        <f t="shared" si="83"/>
        <v>0</v>
      </c>
      <c r="CJ74" s="69">
        <f t="shared" si="84"/>
        <v>0</v>
      </c>
      <c r="CM74" s="67">
        <f t="shared" si="44"/>
        <v>468</v>
      </c>
      <c r="CN74" s="68">
        <f t="shared" si="49"/>
        <v>456</v>
      </c>
      <c r="CO74" s="68">
        <f t="shared" si="50"/>
        <v>572.90000000000009</v>
      </c>
      <c r="CP74" s="68">
        <f t="shared" si="51"/>
        <v>454.29999999999995</v>
      </c>
      <c r="CQ74" s="68">
        <f t="shared" si="52"/>
        <v>710</v>
      </c>
      <c r="CR74" s="68">
        <f t="shared" si="53"/>
        <v>361.6</v>
      </c>
      <c r="CS74" s="69">
        <f t="shared" si="54"/>
        <v>480.70000000000005</v>
      </c>
      <c r="CU74" s="511">
        <f>SUM(SUMIF($AZ$8:$BF$8, {"NON";"NEUT"}, AZ74:BF74))/config!$AC$16</f>
        <v>12.6</v>
      </c>
      <c r="CV74" s="512">
        <f t="shared" si="45"/>
        <v>0.65624999999999978</v>
      </c>
      <c r="CY74" s="67">
        <f>SUM(C78*$CY$108, C185*$CY$109, C292*$CY$110, C399*$CY$111, C506*$CY$112, C613*$CY$113, C720*$CY$114)/config!$AC$16</f>
        <v>0</v>
      </c>
      <c r="CZ74" s="68">
        <f>SUM(SUM(D78:E78)*$CY$108, SUM(D185:E185)*$CY$109, SUM(D292:E292)*$CY$110, SUM(D399:E399)*$CY$111, SUM(D506:E506)*$CY$112, SUM(D613:E613)*$CY$113, SUM(D720:E720)*$CY$114)/config!$AC$16</f>
        <v>12.2</v>
      </c>
      <c r="DA74" s="68">
        <f>SUM(SUM(F78:G78)*$CY$108, SUM(F185:G185)*$CY$109, SUM(F292:G292)*$CY$110, SUM(F399:G399)*$CY$111, SUM(F506:G506)*$CY$112, SUM(F613:G613)*$CY$113, SUM(F720:G720)*$CY$114)/config!$AC$16</f>
        <v>0.4</v>
      </c>
      <c r="DB74" s="68">
        <f>SUM(H78*$CY$108, H185*$CY$109, H292*$CY$110, H399*$CY$111, H506*$CY$112, H613*$CY$113, H720*$CY$114)/config!$AC$16</f>
        <v>0</v>
      </c>
      <c r="DC74" s="69">
        <f>SUM(SUM(I78:L78)*$CY$108, SUM(I185:L185)*$CY$109, SUM(I292:L292)*$CY$110, SUM(I399:L399)*$CY$111, SUM(I506:L506)*$CY$112, SUM(I613:L613)*$CY$113, SUM(I720:L720)*$CY$114)/config!$AC$16</f>
        <v>0</v>
      </c>
    </row>
    <row r="75" spans="1:107" ht="15" x14ac:dyDescent="0.25">
      <c r="A75" s="190" t="s">
        <v>64</v>
      </c>
      <c r="B75" s="642">
        <v>15</v>
      </c>
      <c r="C75" s="184">
        <v>0</v>
      </c>
      <c r="D75" s="184">
        <v>14</v>
      </c>
      <c r="E75" s="184">
        <v>0</v>
      </c>
      <c r="F75" s="184">
        <v>1</v>
      </c>
      <c r="G75" s="184">
        <v>0</v>
      </c>
      <c r="H75" s="184">
        <v>0</v>
      </c>
      <c r="I75" s="184">
        <v>0</v>
      </c>
      <c r="J75" s="184">
        <v>0</v>
      </c>
      <c r="K75" s="184">
        <v>0</v>
      </c>
      <c r="L75" s="184">
        <v>0</v>
      </c>
      <c r="M75" s="654" t="s">
        <v>24</v>
      </c>
      <c r="N75" s="669" t="s">
        <v>64</v>
      </c>
      <c r="O75" s="642">
        <v>0</v>
      </c>
      <c r="P75" s="184">
        <v>0</v>
      </c>
      <c r="Q75" s="184">
        <v>0</v>
      </c>
      <c r="R75" s="184">
        <v>0</v>
      </c>
      <c r="S75" s="184">
        <v>0</v>
      </c>
      <c r="T75" s="184">
        <v>1</v>
      </c>
      <c r="U75" s="184">
        <v>6</v>
      </c>
      <c r="V75" s="184">
        <v>4</v>
      </c>
      <c r="W75" s="184">
        <v>1</v>
      </c>
      <c r="X75" s="184">
        <v>3</v>
      </c>
      <c r="Y75" s="184">
        <v>0</v>
      </c>
      <c r="Z75" s="184">
        <v>0</v>
      </c>
      <c r="AA75" s="184">
        <v>0</v>
      </c>
      <c r="AB75" s="184">
        <v>0</v>
      </c>
      <c r="AC75" s="185">
        <v>42.7</v>
      </c>
      <c r="AD75" s="185">
        <v>52</v>
      </c>
      <c r="AE75" s="184">
        <v>0</v>
      </c>
      <c r="AF75" s="185">
        <v>0</v>
      </c>
      <c r="AG75" s="184">
        <v>0</v>
      </c>
      <c r="AH75" s="185">
        <v>0</v>
      </c>
      <c r="AI75" s="184">
        <v>0</v>
      </c>
      <c r="AJ75" s="643">
        <v>0</v>
      </c>
      <c r="AP75" s="401">
        <f t="shared" si="40"/>
        <v>9</v>
      </c>
      <c r="AR75" s="56">
        <f t="shared" si="41"/>
        <v>0.66666666666666641</v>
      </c>
      <c r="AS75" s="79">
        <f>SUM(C79,C186,C293,C400,C507,C614,C721)/config!$AC$13</f>
        <v>0.2857142857142857</v>
      </c>
      <c r="AT75" s="80">
        <f>SUM(D79:E79,D186:E186,D293:E293,D400:E400,D507:E507,D614:E614,D721:E721)/config!$AC$13</f>
        <v>14</v>
      </c>
      <c r="AU75" s="80">
        <f>SUM(F79:G79,F186:G186,F293:G293,F400:G400,F507:G507,F614:G614,F721:G721)/config!$AC$13</f>
        <v>1.2857142857142858</v>
      </c>
      <c r="AV75" s="80">
        <f>SUM(H79,H186,H293,H400,H507,H614,H721)/config!$AC$13</f>
        <v>0</v>
      </c>
      <c r="AW75" s="81">
        <f>SUM(I79:L79,I186:L186,I293:L293,I400:L400,I507:L507,I614:L614,I721:L721)/config!$AC$13</f>
        <v>0</v>
      </c>
      <c r="AY75" s="56">
        <f t="shared" si="42"/>
        <v>0.66666666666666641</v>
      </c>
      <c r="AZ75" s="82">
        <f t="shared" ref="AZ75:AZ105" si="85">B79</f>
        <v>16</v>
      </c>
      <c r="BA75" s="83">
        <f t="shared" ref="BA75:BA106" si="86">B186</f>
        <v>20</v>
      </c>
      <c r="BB75" s="83">
        <f t="shared" ref="BB75:BB106" si="87">B293</f>
        <v>20</v>
      </c>
      <c r="BC75" s="83">
        <f t="shared" ref="BC75:BC106" si="88">B400</f>
        <v>14</v>
      </c>
      <c r="BD75" s="83">
        <f t="shared" ref="BD75:BD106" si="89">B507</f>
        <v>15</v>
      </c>
      <c r="BE75" s="83">
        <f t="shared" ref="BE75:BE106" si="90">B614</f>
        <v>7</v>
      </c>
      <c r="BF75" s="84">
        <f t="shared" ref="BF75:BF106" si="91">B721</f>
        <v>17</v>
      </c>
      <c r="BG75" s="45"/>
      <c r="BH75" s="56">
        <f t="shared" ref="BH75:BH106" si="92">AY75</f>
        <v>0.66666666666666641</v>
      </c>
      <c r="BI75" s="79">
        <f t="shared" ref="BI75:BI106" si="93">AC79</f>
        <v>39.6</v>
      </c>
      <c r="BJ75" s="80">
        <f t="shared" ref="BJ75:BJ106" si="94">AC186</f>
        <v>39.1</v>
      </c>
      <c r="BK75" s="80">
        <f t="shared" ref="BK75:BK106" si="95">AC293</f>
        <v>41.8</v>
      </c>
      <c r="BL75" s="80">
        <f t="shared" ref="BL75:BL106" si="96">AC400</f>
        <v>43</v>
      </c>
      <c r="BM75" s="80">
        <f t="shared" ref="BM75:BM106" si="97">AC507</f>
        <v>37.5</v>
      </c>
      <c r="BN75" s="80">
        <f t="shared" ref="BN75:BN106" si="98">AC614</f>
        <v>40.9</v>
      </c>
      <c r="BO75" s="81">
        <f t="shared" ref="BO75:BO106" si="99">AC721</f>
        <v>41.7</v>
      </c>
      <c r="BP75" s="63"/>
      <c r="BQ75" s="64">
        <f t="shared" ref="BQ75:BQ106" si="100">BH75</f>
        <v>0.66666666666666641</v>
      </c>
      <c r="BR75" s="79">
        <f t="shared" ref="BR75:BR106" si="101">AD79</f>
        <v>48.4</v>
      </c>
      <c r="BS75" s="80">
        <f t="shared" ref="BS75:BS106" si="102">AD186</f>
        <v>47.8</v>
      </c>
      <c r="BT75" s="80">
        <f t="shared" ref="BT75:BT106" si="103">AD293</f>
        <v>49.8</v>
      </c>
      <c r="BU75" s="80">
        <f t="shared" ref="BU75:BU106" si="104">AD400</f>
        <v>50.1</v>
      </c>
      <c r="BV75" s="80">
        <f t="shared" ref="BV75:BV106" si="105">AD507</f>
        <v>45.9</v>
      </c>
      <c r="BW75" s="80" t="str">
        <f t="shared" ref="BW75:BW106" si="106">AD614</f>
        <v/>
      </c>
      <c r="BX75" s="81">
        <f t="shared" ref="BX75:BX106" si="107">AD721</f>
        <v>49.3</v>
      </c>
      <c r="BY75" s="65"/>
      <c r="BZ75" s="66">
        <f t="shared" si="43"/>
        <v>40.51428571428572</v>
      </c>
      <c r="CA75" s="414">
        <f t="shared" ref="CA75:CA105" si="108">IFERROR(SUM(BR75:BX75) / COUNTIF(BR75:BX75, "&gt;0"), NA())</f>
        <v>48.550000000000004</v>
      </c>
      <c r="CB75" s="416">
        <f t="shared" si="48"/>
        <v>60</v>
      </c>
      <c r="CC75" s="65"/>
      <c r="CD75" s="79">
        <f t="shared" ref="CD75:CD106" si="109">AE79</f>
        <v>0</v>
      </c>
      <c r="CE75" s="80">
        <f t="shared" ref="CE75:CE106" si="110">AE186</f>
        <v>0</v>
      </c>
      <c r="CF75" s="80">
        <f t="shared" ref="CF75:CF106" si="111">AE293</f>
        <v>0</v>
      </c>
      <c r="CG75" s="80">
        <f t="shared" ref="CG75:CG106" si="112">AE400</f>
        <v>0</v>
      </c>
      <c r="CH75" s="80">
        <f t="shared" ref="CH75:CH106" si="113">AE507</f>
        <v>0</v>
      </c>
      <c r="CI75" s="80">
        <f t="shared" ref="CI75:CI106" si="114">AE614</f>
        <v>0</v>
      </c>
      <c r="CJ75" s="81">
        <f t="shared" ref="CJ75:CJ106" si="115">AE721</f>
        <v>0</v>
      </c>
      <c r="CM75" s="79">
        <f t="shared" si="44"/>
        <v>633.6</v>
      </c>
      <c r="CN75" s="80">
        <f t="shared" si="49"/>
        <v>782</v>
      </c>
      <c r="CO75" s="80">
        <f t="shared" si="50"/>
        <v>836</v>
      </c>
      <c r="CP75" s="80">
        <f t="shared" si="51"/>
        <v>602</v>
      </c>
      <c r="CQ75" s="80">
        <f t="shared" si="52"/>
        <v>562.5</v>
      </c>
      <c r="CR75" s="80">
        <f t="shared" si="53"/>
        <v>286.3</v>
      </c>
      <c r="CS75" s="81">
        <f t="shared" si="54"/>
        <v>708.90000000000009</v>
      </c>
      <c r="CU75" s="511">
        <f>SUM(SUMIF($AZ$8:$BF$8, {"NON";"NEUT"}, AZ75:BF75))/config!$AC$16</f>
        <v>17.399999999999999</v>
      </c>
      <c r="CV75" s="512">
        <f t="shared" si="45"/>
        <v>0.66666666666666641</v>
      </c>
      <c r="CY75" s="79">
        <f>SUM(C79*$CY$108, C186*$CY$109, C293*$CY$110, C400*$CY$111, C507*$CY$112, C614*$CY$113, C721*$CY$114)/config!$AC$16</f>
        <v>0.4</v>
      </c>
      <c r="CZ75" s="80">
        <f>SUM(SUM(D79:E79)*$CY$108, SUM(D186:E186)*$CY$109, SUM(D293:E293)*$CY$110, SUM(D400:E400)*$CY$111, SUM(D507:E507)*$CY$112, SUM(D614:E614)*$CY$113, SUM(D721:E721)*$CY$114)/config!$AC$16</f>
        <v>15.2</v>
      </c>
      <c r="DA75" s="80">
        <f>SUM(SUM(F79:G79)*$CY$108, SUM(F186:G186)*$CY$109, SUM(F293:G293)*$CY$110, SUM(F400:G400)*$CY$111, SUM(F507:G507)*$CY$112, SUM(F614:G614)*$CY$113, SUM(F721:G721)*$CY$114)/config!$AC$16</f>
        <v>1.8</v>
      </c>
      <c r="DB75" s="80">
        <f>SUM(H79*$CY$108, H186*$CY$109, H293*$CY$110, H400*$CY$111, H507*$CY$112, H614*$CY$113, H721*$CY$114)/config!$AC$16</f>
        <v>0</v>
      </c>
      <c r="DC75" s="81">
        <f>SUM(SUM(I79:L79)*$CY$108, SUM(I186:L186)*$CY$109, SUM(I293:L293)*$CY$110, SUM(I400:L400)*$CY$111, SUM(I507:L507)*$CY$112, SUM(I614:L614)*$CY$113, SUM(I721:L721)*$CY$114)/config!$AC$16</f>
        <v>0</v>
      </c>
    </row>
    <row r="76" spans="1:107" ht="15" x14ac:dyDescent="0.25">
      <c r="A76" s="190" t="s">
        <v>106</v>
      </c>
      <c r="B76" s="642">
        <v>11</v>
      </c>
      <c r="C76" s="184">
        <v>0</v>
      </c>
      <c r="D76" s="184">
        <v>8</v>
      </c>
      <c r="E76" s="184">
        <v>1</v>
      </c>
      <c r="F76" s="184">
        <v>1</v>
      </c>
      <c r="G76" s="184">
        <v>0</v>
      </c>
      <c r="H76" s="184">
        <v>0</v>
      </c>
      <c r="I76" s="184">
        <v>0</v>
      </c>
      <c r="J76" s="184">
        <v>1</v>
      </c>
      <c r="K76" s="184">
        <v>0</v>
      </c>
      <c r="L76" s="184">
        <v>0</v>
      </c>
      <c r="M76" s="654" t="s">
        <v>24</v>
      </c>
      <c r="N76" s="669" t="s">
        <v>106</v>
      </c>
      <c r="O76" s="642">
        <v>0</v>
      </c>
      <c r="P76" s="184">
        <v>0</v>
      </c>
      <c r="Q76" s="184">
        <v>0</v>
      </c>
      <c r="R76" s="184">
        <v>0</v>
      </c>
      <c r="S76" s="184">
        <v>2</v>
      </c>
      <c r="T76" s="184">
        <v>4</v>
      </c>
      <c r="U76" s="184">
        <v>2</v>
      </c>
      <c r="V76" s="184">
        <v>3</v>
      </c>
      <c r="W76" s="184">
        <v>0</v>
      </c>
      <c r="X76" s="184">
        <v>0</v>
      </c>
      <c r="Y76" s="184">
        <v>0</v>
      </c>
      <c r="Z76" s="184">
        <v>0</v>
      </c>
      <c r="AA76" s="184">
        <v>0</v>
      </c>
      <c r="AB76" s="184">
        <v>0</v>
      </c>
      <c r="AC76" s="185">
        <v>35.799999999999997</v>
      </c>
      <c r="AD76" s="185">
        <v>42.6</v>
      </c>
      <c r="AE76" s="184">
        <v>0</v>
      </c>
      <c r="AF76" s="185">
        <v>0</v>
      </c>
      <c r="AG76" s="184">
        <v>0</v>
      </c>
      <c r="AH76" s="185">
        <v>0</v>
      </c>
      <c r="AI76" s="184">
        <v>0</v>
      </c>
      <c r="AJ76" s="643">
        <v>0</v>
      </c>
      <c r="AP76" s="401">
        <f t="shared" ref="AP76:AP106" si="116">SUM(F80,F187,F294,F401,F508,F615,F722)</f>
        <v>11</v>
      </c>
      <c r="AR76" s="56">
        <f t="shared" ref="AR76:AR106" si="117">AR75+TIME(0,15,0)</f>
        <v>0.67708333333333304</v>
      </c>
      <c r="AS76" s="67">
        <f>SUM(C80,C187,C294,C401,C508,C615,C722)/config!$AC$13</f>
        <v>0.14285714285714285</v>
      </c>
      <c r="AT76" s="68">
        <f>SUM(D80:E80,D187:E187,D294:E294,D401:E401,D508:E508,D615:E615,D722:E722)/config!$AC$13</f>
        <v>12.285714285714286</v>
      </c>
      <c r="AU76" s="68">
        <f>SUM(F80:G80,F187:G187,F294:G294,F401:G401,F508:G508,F615:G615,F722:G722)/config!$AC$13</f>
        <v>1.5714285714285714</v>
      </c>
      <c r="AV76" s="68">
        <f>SUM(H80,H187,H294,H401,H508,H615,H722)/config!$AC$13</f>
        <v>0</v>
      </c>
      <c r="AW76" s="69">
        <f>SUM(I80:L80,I187:L187,I294:L294,I401:L401,I508:L508,I615:L615,I722:L722)/config!$AC$13</f>
        <v>0</v>
      </c>
      <c r="AY76" s="56">
        <f t="shared" ref="AY76:AY106" si="118">AY75+TIME(0,15,0)</f>
        <v>0.67708333333333304</v>
      </c>
      <c r="AZ76" s="70">
        <f t="shared" si="85"/>
        <v>12</v>
      </c>
      <c r="BA76" s="71">
        <f t="shared" si="86"/>
        <v>17</v>
      </c>
      <c r="BB76" s="71">
        <f t="shared" si="87"/>
        <v>15</v>
      </c>
      <c r="BC76" s="71">
        <f t="shared" si="88"/>
        <v>21</v>
      </c>
      <c r="BD76" s="71">
        <f t="shared" si="89"/>
        <v>14</v>
      </c>
      <c r="BE76" s="71">
        <f t="shared" si="90"/>
        <v>5</v>
      </c>
      <c r="BF76" s="72">
        <f t="shared" si="91"/>
        <v>14</v>
      </c>
      <c r="BG76" s="45"/>
      <c r="BH76" s="56">
        <f t="shared" si="92"/>
        <v>0.67708333333333304</v>
      </c>
      <c r="BI76" s="67">
        <f t="shared" si="93"/>
        <v>41.4</v>
      </c>
      <c r="BJ76" s="68">
        <f t="shared" si="94"/>
        <v>36.700000000000003</v>
      </c>
      <c r="BK76" s="68">
        <f t="shared" si="95"/>
        <v>40.9</v>
      </c>
      <c r="BL76" s="68">
        <f t="shared" si="96"/>
        <v>43.2</v>
      </c>
      <c r="BM76" s="68">
        <f t="shared" si="97"/>
        <v>35.799999999999997</v>
      </c>
      <c r="BN76" s="68">
        <f t="shared" si="98"/>
        <v>39.299999999999997</v>
      </c>
      <c r="BO76" s="69">
        <f t="shared" si="99"/>
        <v>41.6</v>
      </c>
      <c r="BP76" s="63"/>
      <c r="BQ76" s="64">
        <f t="shared" si="100"/>
        <v>0.67708333333333304</v>
      </c>
      <c r="BR76" s="67">
        <f t="shared" si="101"/>
        <v>46.2</v>
      </c>
      <c r="BS76" s="68">
        <f t="shared" si="102"/>
        <v>42.5</v>
      </c>
      <c r="BT76" s="68">
        <f t="shared" si="103"/>
        <v>44.8</v>
      </c>
      <c r="BU76" s="68">
        <f t="shared" si="104"/>
        <v>51.4</v>
      </c>
      <c r="BV76" s="68">
        <f t="shared" si="105"/>
        <v>46.8</v>
      </c>
      <c r="BW76" s="68" t="str">
        <f t="shared" si="106"/>
        <v/>
      </c>
      <c r="BX76" s="69">
        <f t="shared" si="107"/>
        <v>50.7</v>
      </c>
      <c r="BY76" s="65"/>
      <c r="BZ76" s="66">
        <f t="shared" ref="BZ76:BZ106" si="119">IF(SUM(BI76:BO76)&gt;0,SUM(BI76:BO76) / COUNTIF(BI76:BO76, "&gt;0"),NA())</f>
        <v>39.842857142857149</v>
      </c>
      <c r="CA76" s="414">
        <f t="shared" si="108"/>
        <v>47.066666666666663</v>
      </c>
      <c r="CB76" s="416">
        <f t="shared" si="48"/>
        <v>60</v>
      </c>
      <c r="CC76" s="65"/>
      <c r="CD76" s="67">
        <f t="shared" si="109"/>
        <v>0</v>
      </c>
      <c r="CE76" s="68">
        <f t="shared" si="110"/>
        <v>0</v>
      </c>
      <c r="CF76" s="68">
        <f t="shared" si="111"/>
        <v>0</v>
      </c>
      <c r="CG76" s="68">
        <f t="shared" si="112"/>
        <v>1</v>
      </c>
      <c r="CH76" s="68">
        <f t="shared" si="113"/>
        <v>0</v>
      </c>
      <c r="CI76" s="68">
        <f t="shared" si="114"/>
        <v>0</v>
      </c>
      <c r="CJ76" s="69">
        <f t="shared" si="115"/>
        <v>1</v>
      </c>
      <c r="CM76" s="67">
        <f t="shared" ref="CM76:CM106" si="120">IFERROR(AZ76*BI76,"")</f>
        <v>496.79999999999995</v>
      </c>
      <c r="CN76" s="68">
        <f t="shared" si="49"/>
        <v>623.90000000000009</v>
      </c>
      <c r="CO76" s="68">
        <f t="shared" si="50"/>
        <v>613.5</v>
      </c>
      <c r="CP76" s="68">
        <f t="shared" si="51"/>
        <v>907.2</v>
      </c>
      <c r="CQ76" s="68">
        <f t="shared" si="52"/>
        <v>501.19999999999993</v>
      </c>
      <c r="CR76" s="68">
        <f t="shared" si="53"/>
        <v>196.5</v>
      </c>
      <c r="CS76" s="69">
        <f t="shared" si="54"/>
        <v>582.4</v>
      </c>
      <c r="CU76" s="511">
        <f>SUM(SUMIF($AZ$8:$BF$8, {"NON";"NEUT"}, AZ76:BF76))/config!$AC$16</f>
        <v>15.8</v>
      </c>
      <c r="CV76" s="512">
        <f t="shared" ref="CV76:CV106" si="121">AY76</f>
        <v>0.67708333333333304</v>
      </c>
      <c r="CY76" s="67">
        <f>SUM(C80*$CY$108, C187*$CY$109, C294*$CY$110, C401*$CY$111, C508*$CY$112, C615*$CY$113, C722*$CY$114)/config!$AC$16</f>
        <v>0</v>
      </c>
      <c r="CZ76" s="68">
        <f>SUM(SUM(D80:E80)*$CY$108, SUM(D187:E187)*$CY$109, SUM(D294:E294)*$CY$110, SUM(D401:E401)*$CY$111, SUM(D508:E508)*$CY$112, SUM(D615:E615)*$CY$113, SUM(D722:E722)*$CY$114)/config!$AC$16</f>
        <v>14</v>
      </c>
      <c r="DA76" s="68">
        <f>SUM(SUM(F80:G80)*$CY$108, SUM(F187:G187)*$CY$109, SUM(F294:G294)*$CY$110, SUM(F401:G401)*$CY$111, SUM(F508:G508)*$CY$112, SUM(F615:G615)*$CY$113, SUM(F722:G722)*$CY$114)/config!$AC$16</f>
        <v>1.8</v>
      </c>
      <c r="DB76" s="68">
        <f>SUM(H80*$CY$108, H187*$CY$109, H294*$CY$110, H401*$CY$111, H508*$CY$112, H615*$CY$113, H722*$CY$114)/config!$AC$16</f>
        <v>0</v>
      </c>
      <c r="DC76" s="69">
        <f>SUM(SUM(I80:L80)*$CY$108, SUM(I187:L187)*$CY$109, SUM(I294:L294)*$CY$110, SUM(I401:L401)*$CY$111, SUM(I508:L508)*$CY$112, SUM(I615:L615)*$CY$113, SUM(I722:L722)*$CY$114)/config!$AC$16</f>
        <v>0</v>
      </c>
    </row>
    <row r="77" spans="1:107" ht="15" x14ac:dyDescent="0.25">
      <c r="A77" s="190" t="s">
        <v>107</v>
      </c>
      <c r="B77" s="642">
        <v>24</v>
      </c>
      <c r="C77" s="184">
        <v>1</v>
      </c>
      <c r="D77" s="184">
        <v>19</v>
      </c>
      <c r="E77" s="184">
        <v>0</v>
      </c>
      <c r="F77" s="184">
        <v>4</v>
      </c>
      <c r="G77" s="184">
        <v>0</v>
      </c>
      <c r="H77" s="184">
        <v>0</v>
      </c>
      <c r="I77" s="184">
        <v>0</v>
      </c>
      <c r="J77" s="184">
        <v>0</v>
      </c>
      <c r="K77" s="184">
        <v>0</v>
      </c>
      <c r="L77" s="184">
        <v>0</v>
      </c>
      <c r="M77" s="654" t="s">
        <v>24</v>
      </c>
      <c r="N77" s="669" t="s">
        <v>107</v>
      </c>
      <c r="O77" s="642">
        <v>0</v>
      </c>
      <c r="P77" s="184">
        <v>0</v>
      </c>
      <c r="Q77" s="184">
        <v>0</v>
      </c>
      <c r="R77" s="184">
        <v>0</v>
      </c>
      <c r="S77" s="184">
        <v>1</v>
      </c>
      <c r="T77" s="184">
        <v>2</v>
      </c>
      <c r="U77" s="184">
        <v>6</v>
      </c>
      <c r="V77" s="184">
        <v>3</v>
      </c>
      <c r="W77" s="184">
        <v>9</v>
      </c>
      <c r="X77" s="184">
        <v>3</v>
      </c>
      <c r="Y77" s="184">
        <v>0</v>
      </c>
      <c r="Z77" s="184">
        <v>0</v>
      </c>
      <c r="AA77" s="184">
        <v>0</v>
      </c>
      <c r="AB77" s="184">
        <v>0</v>
      </c>
      <c r="AC77" s="185">
        <v>42.5</v>
      </c>
      <c r="AD77" s="185">
        <v>49.9</v>
      </c>
      <c r="AE77" s="184">
        <v>0</v>
      </c>
      <c r="AF77" s="185">
        <v>0</v>
      </c>
      <c r="AG77" s="184">
        <v>0</v>
      </c>
      <c r="AH77" s="185">
        <v>0</v>
      </c>
      <c r="AI77" s="184">
        <v>0</v>
      </c>
      <c r="AJ77" s="643">
        <v>0</v>
      </c>
      <c r="AP77" s="401">
        <f t="shared" si="116"/>
        <v>8</v>
      </c>
      <c r="AR77" s="56">
        <f t="shared" si="117"/>
        <v>0.68749999999999967</v>
      </c>
      <c r="AS77" s="67">
        <f>SUM(C81,C188,C295,C402,C509,C616,C723)/config!$AC$13</f>
        <v>0</v>
      </c>
      <c r="AT77" s="68">
        <f>SUM(D81:E81,D188:E188,D295:E295,D402:E402,D509:E509,D616:E616,D723:E723)/config!$AC$13</f>
        <v>13.714285714285714</v>
      </c>
      <c r="AU77" s="68">
        <f>SUM(F81:G81,F188:G188,F295:G295,F402:G402,F509:G509,F616:G616,F723:G723)/config!$AC$13</f>
        <v>1.1428571428571428</v>
      </c>
      <c r="AV77" s="68">
        <f>SUM(H81,H188,H295,H402,H509,H616,H723)/config!$AC$13</f>
        <v>0</v>
      </c>
      <c r="AW77" s="69">
        <f>SUM(I81:L81,I188:L188,I295:L295,I402:L402,I509:L509,I616:L616,I723:L723)/config!$AC$13</f>
        <v>0.2857142857142857</v>
      </c>
      <c r="AY77" s="56">
        <f t="shared" si="118"/>
        <v>0.68749999999999967</v>
      </c>
      <c r="AZ77" s="70">
        <f t="shared" si="85"/>
        <v>21</v>
      </c>
      <c r="BA77" s="71">
        <f t="shared" si="86"/>
        <v>12</v>
      </c>
      <c r="BB77" s="71">
        <f t="shared" si="87"/>
        <v>16</v>
      </c>
      <c r="BC77" s="71">
        <f t="shared" si="88"/>
        <v>26</v>
      </c>
      <c r="BD77" s="71">
        <f t="shared" si="89"/>
        <v>7</v>
      </c>
      <c r="BE77" s="71">
        <f t="shared" si="90"/>
        <v>9</v>
      </c>
      <c r="BF77" s="72">
        <f t="shared" si="91"/>
        <v>15</v>
      </c>
      <c r="BG77" s="45"/>
      <c r="BH77" s="56">
        <f t="shared" si="92"/>
        <v>0.68749999999999967</v>
      </c>
      <c r="BI77" s="67">
        <f t="shared" si="93"/>
        <v>42.7</v>
      </c>
      <c r="BJ77" s="68">
        <f t="shared" si="94"/>
        <v>43.5</v>
      </c>
      <c r="BK77" s="68">
        <f t="shared" si="95"/>
        <v>42.4</v>
      </c>
      <c r="BL77" s="68">
        <f t="shared" si="96"/>
        <v>43.4</v>
      </c>
      <c r="BM77" s="68">
        <f t="shared" si="97"/>
        <v>40.1</v>
      </c>
      <c r="BN77" s="68">
        <f t="shared" si="98"/>
        <v>45.2</v>
      </c>
      <c r="BO77" s="69">
        <f t="shared" si="99"/>
        <v>45.6</v>
      </c>
      <c r="BP77" s="63"/>
      <c r="BQ77" s="64">
        <f t="shared" si="100"/>
        <v>0.68749999999999967</v>
      </c>
      <c r="BR77" s="67">
        <f t="shared" si="101"/>
        <v>47.9</v>
      </c>
      <c r="BS77" s="68">
        <f t="shared" si="102"/>
        <v>57.1</v>
      </c>
      <c r="BT77" s="68">
        <f t="shared" si="103"/>
        <v>54.3</v>
      </c>
      <c r="BU77" s="68">
        <f t="shared" si="104"/>
        <v>53</v>
      </c>
      <c r="BV77" s="68" t="str">
        <f t="shared" si="105"/>
        <v/>
      </c>
      <c r="BW77" s="68" t="str">
        <f t="shared" si="106"/>
        <v/>
      </c>
      <c r="BX77" s="69">
        <f t="shared" si="107"/>
        <v>53.4</v>
      </c>
      <c r="BY77" s="65"/>
      <c r="BZ77" s="66">
        <f t="shared" si="119"/>
        <v>43.271428571428579</v>
      </c>
      <c r="CA77" s="414">
        <f t="shared" si="108"/>
        <v>53.14</v>
      </c>
      <c r="CB77" s="416">
        <f t="shared" ref="CB77:CB106" si="122">CB76</f>
        <v>60</v>
      </c>
      <c r="CC77" s="65"/>
      <c r="CD77" s="67">
        <f t="shared" si="109"/>
        <v>0</v>
      </c>
      <c r="CE77" s="68">
        <f t="shared" si="110"/>
        <v>1</v>
      </c>
      <c r="CF77" s="68">
        <f t="shared" si="111"/>
        <v>0</v>
      </c>
      <c r="CG77" s="68">
        <f t="shared" si="112"/>
        <v>0</v>
      </c>
      <c r="CH77" s="68">
        <f t="shared" si="113"/>
        <v>0</v>
      </c>
      <c r="CI77" s="68">
        <f t="shared" si="114"/>
        <v>0</v>
      </c>
      <c r="CJ77" s="69">
        <f t="shared" si="115"/>
        <v>0</v>
      </c>
      <c r="CM77" s="67">
        <f t="shared" si="120"/>
        <v>896.7</v>
      </c>
      <c r="CN77" s="68">
        <f t="shared" si="49"/>
        <v>522</v>
      </c>
      <c r="CO77" s="68">
        <f t="shared" si="50"/>
        <v>678.4</v>
      </c>
      <c r="CP77" s="68">
        <f t="shared" si="51"/>
        <v>1128.3999999999999</v>
      </c>
      <c r="CQ77" s="68">
        <f t="shared" si="52"/>
        <v>280.7</v>
      </c>
      <c r="CR77" s="68">
        <f t="shared" si="53"/>
        <v>406.8</v>
      </c>
      <c r="CS77" s="69">
        <f t="shared" si="54"/>
        <v>684</v>
      </c>
      <c r="CU77" s="511">
        <f>SUM(SUMIF($AZ$8:$BF$8, {"NON";"NEUT"}, AZ77:BF77))/config!$AC$16</f>
        <v>18</v>
      </c>
      <c r="CV77" s="512">
        <f t="shared" si="121"/>
        <v>0.68749999999999967</v>
      </c>
      <c r="CY77" s="67">
        <f>SUM(C81*$CY$108, C188*$CY$109, C295*$CY$110, C402*$CY$111, C509*$CY$112, C616*$CY$113, C723*$CY$114)/config!$AC$16</f>
        <v>0</v>
      </c>
      <c r="CZ77" s="68">
        <f>SUM(SUM(D81:E81)*$CY$108, SUM(D188:E188)*$CY$109, SUM(D295:E295)*$CY$110, SUM(D402:E402)*$CY$111, SUM(D509:E509)*$CY$112, SUM(D616:E616)*$CY$113, SUM(D723:E723)*$CY$114)/config!$AC$16</f>
        <v>16.2</v>
      </c>
      <c r="DA77" s="68">
        <f>SUM(SUM(F81:G81)*$CY$108, SUM(F188:G188)*$CY$109, SUM(F295:G295)*$CY$110, SUM(F402:G402)*$CY$111, SUM(F509:G509)*$CY$112, SUM(F616:G616)*$CY$113, SUM(F723:G723)*$CY$114)/config!$AC$16</f>
        <v>1.6</v>
      </c>
      <c r="DB77" s="68">
        <f>SUM(H81*$CY$108, H188*$CY$109, H295*$CY$110, H402*$CY$111, H509*$CY$112, H616*$CY$113, H723*$CY$114)/config!$AC$16</f>
        <v>0</v>
      </c>
      <c r="DC77" s="69">
        <f>SUM(SUM(I81:L81)*$CY$108, SUM(I188:L188)*$CY$109, SUM(I295:L295)*$CY$110, SUM(I402:L402)*$CY$111, SUM(I509:L509)*$CY$112, SUM(I616:L616)*$CY$113, SUM(I723:L723)*$CY$114)/config!$AC$16</f>
        <v>0.2</v>
      </c>
    </row>
    <row r="78" spans="1:107" ht="15" x14ac:dyDescent="0.25">
      <c r="A78" s="190" t="s">
        <v>108</v>
      </c>
      <c r="B78" s="642">
        <v>12</v>
      </c>
      <c r="C78" s="184">
        <v>0</v>
      </c>
      <c r="D78" s="184">
        <v>12</v>
      </c>
      <c r="E78" s="184">
        <v>0</v>
      </c>
      <c r="F78" s="184">
        <v>0</v>
      </c>
      <c r="G78" s="184">
        <v>0</v>
      </c>
      <c r="H78" s="184">
        <v>0</v>
      </c>
      <c r="I78" s="184">
        <v>0</v>
      </c>
      <c r="J78" s="184">
        <v>0</v>
      </c>
      <c r="K78" s="184">
        <v>0</v>
      </c>
      <c r="L78" s="184">
        <v>0</v>
      </c>
      <c r="M78" s="654" t="s">
        <v>24</v>
      </c>
      <c r="N78" s="669" t="s">
        <v>108</v>
      </c>
      <c r="O78" s="642">
        <v>0</v>
      </c>
      <c r="P78" s="184">
        <v>1</v>
      </c>
      <c r="Q78" s="184">
        <v>0</v>
      </c>
      <c r="R78" s="184">
        <v>0</v>
      </c>
      <c r="S78" s="184">
        <v>0</v>
      </c>
      <c r="T78" s="184">
        <v>2</v>
      </c>
      <c r="U78" s="184">
        <v>4</v>
      </c>
      <c r="V78" s="184">
        <v>1</v>
      </c>
      <c r="W78" s="184">
        <v>2</v>
      </c>
      <c r="X78" s="184">
        <v>2</v>
      </c>
      <c r="Y78" s="184">
        <v>0</v>
      </c>
      <c r="Z78" s="184">
        <v>0</v>
      </c>
      <c r="AA78" s="184">
        <v>0</v>
      </c>
      <c r="AB78" s="184">
        <v>0</v>
      </c>
      <c r="AC78" s="185">
        <v>39</v>
      </c>
      <c r="AD78" s="185">
        <v>50.7</v>
      </c>
      <c r="AE78" s="184">
        <v>0</v>
      </c>
      <c r="AF78" s="185">
        <v>0</v>
      </c>
      <c r="AG78" s="184">
        <v>0</v>
      </c>
      <c r="AH78" s="185">
        <v>0</v>
      </c>
      <c r="AI78" s="184">
        <v>0</v>
      </c>
      <c r="AJ78" s="643">
        <v>0</v>
      </c>
      <c r="AP78" s="401">
        <f t="shared" si="116"/>
        <v>8</v>
      </c>
      <c r="AR78" s="56">
        <f t="shared" si="117"/>
        <v>0.6979166666666663</v>
      </c>
      <c r="AS78" s="67">
        <f>SUM(C82,C189,C296,C403,C510,C617,C724)/config!$AC$13</f>
        <v>0.5714285714285714</v>
      </c>
      <c r="AT78" s="68">
        <f>SUM(D82:E82,D189:E189,D296:E296,D403:E403,D510:E510,D617:E617,D724:E724)/config!$AC$13</f>
        <v>16.428571428571427</v>
      </c>
      <c r="AU78" s="68">
        <f>SUM(F82:G82,F189:G189,F296:G296,F403:G403,F510:G510,F617:G617,F724:G724)/config!$AC$13</f>
        <v>1.1428571428571428</v>
      </c>
      <c r="AV78" s="68">
        <f>SUM(H82,H189,H296,H403,H510,H617,H724)/config!$AC$13</f>
        <v>0</v>
      </c>
      <c r="AW78" s="69">
        <f>SUM(I82:L82,I189:L189,I296:L296,I403:L403,I510:L510,I617:L617,I724:L724)/config!$AC$13</f>
        <v>0</v>
      </c>
      <c r="AY78" s="56">
        <f t="shared" si="118"/>
        <v>0.6979166666666663</v>
      </c>
      <c r="AZ78" s="70">
        <f t="shared" si="85"/>
        <v>25</v>
      </c>
      <c r="BA78" s="71">
        <f t="shared" si="86"/>
        <v>17</v>
      </c>
      <c r="BB78" s="71">
        <f t="shared" si="87"/>
        <v>24</v>
      </c>
      <c r="BC78" s="71">
        <f t="shared" si="88"/>
        <v>25</v>
      </c>
      <c r="BD78" s="71">
        <f t="shared" si="89"/>
        <v>9</v>
      </c>
      <c r="BE78" s="71">
        <f t="shared" si="90"/>
        <v>10</v>
      </c>
      <c r="BF78" s="72">
        <f t="shared" si="91"/>
        <v>17</v>
      </c>
      <c r="BG78" s="45"/>
      <c r="BH78" s="56">
        <f t="shared" si="92"/>
        <v>0.6979166666666663</v>
      </c>
      <c r="BI78" s="67">
        <f t="shared" si="93"/>
        <v>41.9</v>
      </c>
      <c r="BJ78" s="68">
        <f t="shared" si="94"/>
        <v>40.799999999999997</v>
      </c>
      <c r="BK78" s="68">
        <f t="shared" si="95"/>
        <v>43.7</v>
      </c>
      <c r="BL78" s="68">
        <f t="shared" si="96"/>
        <v>45.6</v>
      </c>
      <c r="BM78" s="68">
        <f t="shared" si="97"/>
        <v>32</v>
      </c>
      <c r="BN78" s="68">
        <f t="shared" si="98"/>
        <v>42.1</v>
      </c>
      <c r="BO78" s="69">
        <f t="shared" si="99"/>
        <v>41.9</v>
      </c>
      <c r="BP78" s="63"/>
      <c r="BQ78" s="64">
        <f t="shared" si="100"/>
        <v>0.6979166666666663</v>
      </c>
      <c r="BR78" s="67">
        <f t="shared" si="101"/>
        <v>51.2</v>
      </c>
      <c r="BS78" s="68">
        <f t="shared" si="102"/>
        <v>49.4</v>
      </c>
      <c r="BT78" s="68">
        <f t="shared" si="103"/>
        <v>49.9</v>
      </c>
      <c r="BU78" s="68">
        <f t="shared" si="104"/>
        <v>51.4</v>
      </c>
      <c r="BV78" s="68" t="str">
        <f t="shared" si="105"/>
        <v/>
      </c>
      <c r="BW78" s="68" t="str">
        <f t="shared" si="106"/>
        <v/>
      </c>
      <c r="BX78" s="69">
        <f t="shared" si="107"/>
        <v>50.2</v>
      </c>
      <c r="BY78" s="65"/>
      <c r="BZ78" s="66">
        <f t="shared" si="119"/>
        <v>41.142857142857146</v>
      </c>
      <c r="CA78" s="414">
        <f t="shared" si="108"/>
        <v>50.42</v>
      </c>
      <c r="CB78" s="416">
        <f t="shared" si="122"/>
        <v>60</v>
      </c>
      <c r="CC78" s="65"/>
      <c r="CD78" s="67">
        <f t="shared" si="109"/>
        <v>0</v>
      </c>
      <c r="CE78" s="68">
        <f t="shared" si="110"/>
        <v>0</v>
      </c>
      <c r="CF78" s="68">
        <f t="shared" si="111"/>
        <v>0</v>
      </c>
      <c r="CG78" s="68">
        <f t="shared" si="112"/>
        <v>1</v>
      </c>
      <c r="CH78" s="68">
        <f t="shared" si="113"/>
        <v>0</v>
      </c>
      <c r="CI78" s="68">
        <f t="shared" si="114"/>
        <v>1</v>
      </c>
      <c r="CJ78" s="69">
        <f t="shared" si="115"/>
        <v>0</v>
      </c>
      <c r="CM78" s="67">
        <f t="shared" si="120"/>
        <v>1047.5</v>
      </c>
      <c r="CN78" s="68">
        <f t="shared" si="49"/>
        <v>693.59999999999991</v>
      </c>
      <c r="CO78" s="68">
        <f t="shared" si="50"/>
        <v>1048.8000000000002</v>
      </c>
      <c r="CP78" s="68">
        <f t="shared" si="51"/>
        <v>1140</v>
      </c>
      <c r="CQ78" s="68">
        <f t="shared" si="52"/>
        <v>288</v>
      </c>
      <c r="CR78" s="68">
        <f t="shared" si="53"/>
        <v>421</v>
      </c>
      <c r="CS78" s="69">
        <f t="shared" si="54"/>
        <v>712.3</v>
      </c>
      <c r="CU78" s="511">
        <f>SUM(SUMIF($AZ$8:$BF$8, {"NON";"NEUT"}, AZ78:BF78))/config!$AC$16</f>
        <v>21.6</v>
      </c>
      <c r="CV78" s="512">
        <f t="shared" si="121"/>
        <v>0.6979166666666663</v>
      </c>
      <c r="CY78" s="67">
        <f>SUM(C82*$CY$108, C189*$CY$109, C296*$CY$110, C403*$CY$111, C510*$CY$112, C617*$CY$113, C724*$CY$114)/config!$AC$16</f>
        <v>0.8</v>
      </c>
      <c r="CZ78" s="68">
        <f>SUM(SUM(D82:E82)*$CY$108, SUM(D189:E189)*$CY$109, SUM(D296:E296)*$CY$110, SUM(D403:E403)*$CY$111, SUM(D510:E510)*$CY$112, SUM(D617:E617)*$CY$113, SUM(D724:E724)*$CY$114)/config!$AC$16</f>
        <v>19.2</v>
      </c>
      <c r="DA78" s="68">
        <f>SUM(SUM(F82:G82)*$CY$108, SUM(F189:G189)*$CY$109, SUM(F296:G296)*$CY$110, SUM(F403:G403)*$CY$111, SUM(F510:G510)*$CY$112, SUM(F617:G617)*$CY$113, SUM(F724:G724)*$CY$114)/config!$AC$16</f>
        <v>1.6</v>
      </c>
      <c r="DB78" s="68">
        <f>SUM(H82*$CY$108, H189*$CY$109, H296*$CY$110, H403*$CY$111, H510*$CY$112, H617*$CY$113, H724*$CY$114)/config!$AC$16</f>
        <v>0</v>
      </c>
      <c r="DC78" s="69">
        <f>SUM(SUM(I82:L82)*$CY$108, SUM(I189:L189)*$CY$109, SUM(I296:L296)*$CY$110, SUM(I403:L403)*$CY$111, SUM(I510:L510)*$CY$112, SUM(I617:L617)*$CY$113, SUM(I724:L724)*$CY$114)/config!$AC$16</f>
        <v>0</v>
      </c>
    </row>
    <row r="79" spans="1:107" ht="15" x14ac:dyDescent="0.25">
      <c r="A79" s="190" t="s">
        <v>65</v>
      </c>
      <c r="B79" s="646">
        <v>16</v>
      </c>
      <c r="C79" s="186">
        <v>1</v>
      </c>
      <c r="D79" s="186">
        <v>12</v>
      </c>
      <c r="E79" s="186">
        <v>0</v>
      </c>
      <c r="F79" s="186">
        <v>3</v>
      </c>
      <c r="G79" s="186">
        <v>0</v>
      </c>
      <c r="H79" s="186">
        <v>0</v>
      </c>
      <c r="I79" s="186">
        <v>0</v>
      </c>
      <c r="J79" s="186">
        <v>0</v>
      </c>
      <c r="K79" s="186">
        <v>0</v>
      </c>
      <c r="L79" s="186">
        <v>0</v>
      </c>
      <c r="M79" s="656" t="s">
        <v>24</v>
      </c>
      <c r="N79" s="669" t="s">
        <v>65</v>
      </c>
      <c r="O79" s="646">
        <v>0</v>
      </c>
      <c r="P79" s="186">
        <v>0</v>
      </c>
      <c r="Q79" s="186">
        <v>1</v>
      </c>
      <c r="R79" s="186">
        <v>0</v>
      </c>
      <c r="S79" s="186">
        <v>0</v>
      </c>
      <c r="T79" s="186">
        <v>0</v>
      </c>
      <c r="U79" s="186">
        <v>8</v>
      </c>
      <c r="V79" s="186">
        <v>4</v>
      </c>
      <c r="W79" s="186">
        <v>3</v>
      </c>
      <c r="X79" s="186">
        <v>0</v>
      </c>
      <c r="Y79" s="186">
        <v>0</v>
      </c>
      <c r="Z79" s="186">
        <v>0</v>
      </c>
      <c r="AA79" s="186">
        <v>0</v>
      </c>
      <c r="AB79" s="186">
        <v>0</v>
      </c>
      <c r="AC79" s="187">
        <v>39.6</v>
      </c>
      <c r="AD79" s="187">
        <v>48.4</v>
      </c>
      <c r="AE79" s="186">
        <v>0</v>
      </c>
      <c r="AF79" s="187">
        <v>0</v>
      </c>
      <c r="AG79" s="186">
        <v>0</v>
      </c>
      <c r="AH79" s="187">
        <v>0</v>
      </c>
      <c r="AI79" s="186">
        <v>0</v>
      </c>
      <c r="AJ79" s="647">
        <v>0</v>
      </c>
      <c r="AP79" s="401">
        <f t="shared" si="116"/>
        <v>12</v>
      </c>
      <c r="AR79" s="56">
        <f t="shared" si="117"/>
        <v>0.70833333333333293</v>
      </c>
      <c r="AS79" s="67">
        <f>SUM(C83,C190,C297,C404,C511,C618,C725)/config!$AC$13</f>
        <v>0.2857142857142857</v>
      </c>
      <c r="AT79" s="68">
        <f>SUM(D83:E83,D190:E190,D297:E297,D404:E404,D511:E511,D618:E618,D725:E725)/config!$AC$13</f>
        <v>14.714285714285714</v>
      </c>
      <c r="AU79" s="68">
        <f>SUM(F83:G83,F190:G190,F297:G297,F404:G404,F511:G511,F618:G618,F725:G725)/config!$AC$13</f>
        <v>1.7142857142857142</v>
      </c>
      <c r="AV79" s="68">
        <f>SUM(H83,H190,H297,H404,H511,H618,H725)/config!$AC$13</f>
        <v>0</v>
      </c>
      <c r="AW79" s="69">
        <f>SUM(I83:L83,I190:L190,I297:L297,I404:L404,I511:L511,I618:L618,I725:L725)/config!$AC$13</f>
        <v>0</v>
      </c>
      <c r="AY79" s="56">
        <f t="shared" si="118"/>
        <v>0.70833333333333293</v>
      </c>
      <c r="AZ79" s="70">
        <f t="shared" si="85"/>
        <v>19</v>
      </c>
      <c r="BA79" s="71">
        <f t="shared" si="86"/>
        <v>18</v>
      </c>
      <c r="BB79" s="71">
        <f t="shared" si="87"/>
        <v>17</v>
      </c>
      <c r="BC79" s="71">
        <f t="shared" si="88"/>
        <v>23</v>
      </c>
      <c r="BD79" s="71">
        <f t="shared" si="89"/>
        <v>6</v>
      </c>
      <c r="BE79" s="71">
        <f t="shared" si="90"/>
        <v>9</v>
      </c>
      <c r="BF79" s="72">
        <f t="shared" si="91"/>
        <v>25</v>
      </c>
      <c r="BG79" s="45"/>
      <c r="BH79" s="56">
        <f t="shared" si="92"/>
        <v>0.70833333333333293</v>
      </c>
      <c r="BI79" s="67">
        <f t="shared" si="93"/>
        <v>42.9</v>
      </c>
      <c r="BJ79" s="68">
        <f t="shared" si="94"/>
        <v>48.2</v>
      </c>
      <c r="BK79" s="68">
        <f t="shared" si="95"/>
        <v>41.2</v>
      </c>
      <c r="BL79" s="68">
        <f t="shared" si="96"/>
        <v>44.4</v>
      </c>
      <c r="BM79" s="68">
        <f t="shared" si="97"/>
        <v>45</v>
      </c>
      <c r="BN79" s="68">
        <f t="shared" si="98"/>
        <v>44.1</v>
      </c>
      <c r="BO79" s="69">
        <f t="shared" si="99"/>
        <v>44</v>
      </c>
      <c r="BP79" s="63"/>
      <c r="BQ79" s="64">
        <f t="shared" si="100"/>
        <v>0.70833333333333293</v>
      </c>
      <c r="BR79" s="67">
        <f t="shared" si="101"/>
        <v>51.1</v>
      </c>
      <c r="BS79" s="68">
        <f t="shared" si="102"/>
        <v>59.9</v>
      </c>
      <c r="BT79" s="68">
        <f t="shared" si="103"/>
        <v>48.5</v>
      </c>
      <c r="BU79" s="68">
        <f t="shared" si="104"/>
        <v>53.7</v>
      </c>
      <c r="BV79" s="68" t="str">
        <f t="shared" si="105"/>
        <v/>
      </c>
      <c r="BW79" s="68" t="str">
        <f t="shared" si="106"/>
        <v/>
      </c>
      <c r="BX79" s="69">
        <f t="shared" si="107"/>
        <v>48.9</v>
      </c>
      <c r="BY79" s="65"/>
      <c r="BZ79" s="66">
        <f t="shared" si="119"/>
        <v>44.25714285714286</v>
      </c>
      <c r="CA79" s="414">
        <f t="shared" si="108"/>
        <v>52.419999999999995</v>
      </c>
      <c r="CB79" s="416">
        <f t="shared" si="122"/>
        <v>60</v>
      </c>
      <c r="CC79" s="65"/>
      <c r="CD79" s="67">
        <f t="shared" si="109"/>
        <v>0</v>
      </c>
      <c r="CE79" s="68">
        <f t="shared" si="110"/>
        <v>2</v>
      </c>
      <c r="CF79" s="68">
        <f t="shared" si="111"/>
        <v>0</v>
      </c>
      <c r="CG79" s="68">
        <f t="shared" si="112"/>
        <v>1</v>
      </c>
      <c r="CH79" s="68">
        <f t="shared" si="113"/>
        <v>0</v>
      </c>
      <c r="CI79" s="68">
        <f t="shared" si="114"/>
        <v>1</v>
      </c>
      <c r="CJ79" s="69">
        <f t="shared" si="115"/>
        <v>0</v>
      </c>
      <c r="CM79" s="67">
        <f t="shared" si="120"/>
        <v>815.1</v>
      </c>
      <c r="CN79" s="68">
        <f t="shared" si="49"/>
        <v>867.6</v>
      </c>
      <c r="CO79" s="68">
        <f t="shared" si="50"/>
        <v>700.40000000000009</v>
      </c>
      <c r="CP79" s="68">
        <f t="shared" si="51"/>
        <v>1021.1999999999999</v>
      </c>
      <c r="CQ79" s="68">
        <f t="shared" si="52"/>
        <v>270</v>
      </c>
      <c r="CR79" s="68">
        <f t="shared" si="53"/>
        <v>396.90000000000003</v>
      </c>
      <c r="CS79" s="69">
        <f t="shared" si="54"/>
        <v>1100</v>
      </c>
      <c r="CU79" s="511">
        <f>SUM(SUMIF($AZ$8:$BF$8, {"NON";"NEUT"}, AZ79:BF79))/config!$AC$16</f>
        <v>20.399999999999999</v>
      </c>
      <c r="CV79" s="512">
        <f t="shared" si="121"/>
        <v>0.70833333333333293</v>
      </c>
      <c r="CY79" s="67">
        <f>SUM(C83*$CY$108, C190*$CY$109, C297*$CY$110, C404*$CY$111, C511*$CY$112, C618*$CY$113, C725*$CY$114)/config!$AC$16</f>
        <v>0.4</v>
      </c>
      <c r="CZ79" s="68">
        <f>SUM(SUM(D83:E83)*$CY$108, SUM(D190:E190)*$CY$109, SUM(D297:E297)*$CY$110, SUM(D404:E404)*$CY$111, SUM(D511:E511)*$CY$112, SUM(D618:E618)*$CY$113, SUM(D725:E725)*$CY$114)/config!$AC$16</f>
        <v>17.8</v>
      </c>
      <c r="DA79" s="68">
        <f>SUM(SUM(F83:G83)*$CY$108, SUM(F190:G190)*$CY$109, SUM(F297:G297)*$CY$110, SUM(F404:G404)*$CY$111, SUM(F511:G511)*$CY$112, SUM(F618:G618)*$CY$113, SUM(F725:G725)*$CY$114)/config!$AC$16</f>
        <v>2.2000000000000002</v>
      </c>
      <c r="DB79" s="68">
        <f>SUM(H83*$CY$108, H190*$CY$109, H297*$CY$110, H404*$CY$111, H511*$CY$112, H618*$CY$113, H725*$CY$114)/config!$AC$16</f>
        <v>0</v>
      </c>
      <c r="DC79" s="69">
        <f>SUM(SUM(I83:L83)*$CY$108, SUM(I190:L190)*$CY$109, SUM(I297:L297)*$CY$110, SUM(I404:L404)*$CY$111, SUM(I511:L511)*$CY$112, SUM(I618:L618)*$CY$113, SUM(I725:L725)*$CY$114)/config!$AC$16</f>
        <v>0</v>
      </c>
    </row>
    <row r="80" spans="1:107" ht="15" x14ac:dyDescent="0.25">
      <c r="A80" s="190" t="s">
        <v>109</v>
      </c>
      <c r="B80" s="642">
        <v>12</v>
      </c>
      <c r="C80" s="184">
        <v>0</v>
      </c>
      <c r="D80" s="184">
        <v>10</v>
      </c>
      <c r="E80" s="184">
        <v>0</v>
      </c>
      <c r="F80" s="184">
        <v>2</v>
      </c>
      <c r="G80" s="184">
        <v>0</v>
      </c>
      <c r="H80" s="184">
        <v>0</v>
      </c>
      <c r="I80" s="184">
        <v>0</v>
      </c>
      <c r="J80" s="184">
        <v>0</v>
      </c>
      <c r="K80" s="184">
        <v>0</v>
      </c>
      <c r="L80" s="184">
        <v>0</v>
      </c>
      <c r="M80" s="654" t="s">
        <v>24</v>
      </c>
      <c r="N80" s="669" t="s">
        <v>109</v>
      </c>
      <c r="O80" s="642">
        <v>0</v>
      </c>
      <c r="P80" s="184">
        <v>0</v>
      </c>
      <c r="Q80" s="184">
        <v>0</v>
      </c>
      <c r="R80" s="184">
        <v>0</v>
      </c>
      <c r="S80" s="184">
        <v>0</v>
      </c>
      <c r="T80" s="184">
        <v>1</v>
      </c>
      <c r="U80" s="184">
        <v>4</v>
      </c>
      <c r="V80" s="184">
        <v>5</v>
      </c>
      <c r="W80" s="184">
        <v>2</v>
      </c>
      <c r="X80" s="184">
        <v>0</v>
      </c>
      <c r="Y80" s="184">
        <v>0</v>
      </c>
      <c r="Z80" s="184">
        <v>0</v>
      </c>
      <c r="AA80" s="184">
        <v>0</v>
      </c>
      <c r="AB80" s="184">
        <v>0</v>
      </c>
      <c r="AC80" s="185">
        <v>41.4</v>
      </c>
      <c r="AD80" s="185">
        <v>46.2</v>
      </c>
      <c r="AE80" s="184">
        <v>0</v>
      </c>
      <c r="AF80" s="185">
        <v>0</v>
      </c>
      <c r="AG80" s="184">
        <v>0</v>
      </c>
      <c r="AH80" s="185">
        <v>0</v>
      </c>
      <c r="AI80" s="184">
        <v>0</v>
      </c>
      <c r="AJ80" s="643">
        <v>0</v>
      </c>
      <c r="AP80" s="401">
        <f t="shared" si="116"/>
        <v>11</v>
      </c>
      <c r="AR80" s="56">
        <f t="shared" si="117"/>
        <v>0.71874999999999956</v>
      </c>
      <c r="AS80" s="67">
        <f>SUM(C84,C191,C298,C405,C512,C619,C726)/config!$AC$13</f>
        <v>0.14285714285714285</v>
      </c>
      <c r="AT80" s="68">
        <f>SUM(D84:E84,D191:E191,D298:E298,D405:E405,D512:E512,D619:E619,D726:E726)/config!$AC$13</f>
        <v>19.285714285714285</v>
      </c>
      <c r="AU80" s="68">
        <f>SUM(F84:G84,F191:G191,F298:G298,F405:G405,F512:G512,F619:G619,F726:G726)/config!$AC$13</f>
        <v>1.5714285714285714</v>
      </c>
      <c r="AV80" s="68">
        <f>SUM(H84,H191,H298,H405,H512,H619,H726)/config!$AC$13</f>
        <v>0.14285714285714285</v>
      </c>
      <c r="AW80" s="69">
        <f>SUM(I84:L84,I191:L191,I298:L298,I405:L405,I512:L512,I619:L619,I726:L726)/config!$AC$13</f>
        <v>0</v>
      </c>
      <c r="AY80" s="56">
        <f t="shared" si="118"/>
        <v>0.71874999999999956</v>
      </c>
      <c r="AZ80" s="70">
        <f t="shared" si="85"/>
        <v>22</v>
      </c>
      <c r="BA80" s="71">
        <f t="shared" si="86"/>
        <v>33</v>
      </c>
      <c r="BB80" s="71">
        <f t="shared" si="87"/>
        <v>26</v>
      </c>
      <c r="BC80" s="71">
        <f t="shared" si="88"/>
        <v>23</v>
      </c>
      <c r="BD80" s="71">
        <f t="shared" si="89"/>
        <v>11</v>
      </c>
      <c r="BE80" s="71">
        <f t="shared" si="90"/>
        <v>12</v>
      </c>
      <c r="BF80" s="72">
        <f t="shared" si="91"/>
        <v>21</v>
      </c>
      <c r="BG80" s="45"/>
      <c r="BH80" s="56">
        <f t="shared" si="92"/>
        <v>0.71874999999999956</v>
      </c>
      <c r="BI80" s="67">
        <f t="shared" si="93"/>
        <v>41.4</v>
      </c>
      <c r="BJ80" s="68">
        <f t="shared" si="94"/>
        <v>42.7</v>
      </c>
      <c r="BK80" s="68">
        <f t="shared" si="95"/>
        <v>41.5</v>
      </c>
      <c r="BL80" s="68">
        <f t="shared" si="96"/>
        <v>46.5</v>
      </c>
      <c r="BM80" s="68">
        <f t="shared" si="97"/>
        <v>41.1</v>
      </c>
      <c r="BN80" s="68">
        <f t="shared" si="98"/>
        <v>43.7</v>
      </c>
      <c r="BO80" s="69">
        <f t="shared" si="99"/>
        <v>46.3</v>
      </c>
      <c r="BP80" s="63"/>
      <c r="BQ80" s="64">
        <f t="shared" si="100"/>
        <v>0.71874999999999956</v>
      </c>
      <c r="BR80" s="67">
        <f t="shared" si="101"/>
        <v>51.5</v>
      </c>
      <c r="BS80" s="68">
        <f t="shared" si="102"/>
        <v>50.3</v>
      </c>
      <c r="BT80" s="68">
        <f t="shared" si="103"/>
        <v>48</v>
      </c>
      <c r="BU80" s="68">
        <f t="shared" si="104"/>
        <v>54.7</v>
      </c>
      <c r="BV80" s="68">
        <f t="shared" si="105"/>
        <v>45.6</v>
      </c>
      <c r="BW80" s="68">
        <f t="shared" si="106"/>
        <v>52</v>
      </c>
      <c r="BX80" s="69">
        <f t="shared" si="107"/>
        <v>55.4</v>
      </c>
      <c r="BY80" s="65"/>
      <c r="BZ80" s="66">
        <f t="shared" si="119"/>
        <v>43.31428571428571</v>
      </c>
      <c r="CA80" s="414">
        <f t="shared" si="108"/>
        <v>51.071428571428569</v>
      </c>
      <c r="CB80" s="416">
        <f t="shared" si="122"/>
        <v>60</v>
      </c>
      <c r="CC80" s="65"/>
      <c r="CD80" s="67">
        <f t="shared" si="109"/>
        <v>0</v>
      </c>
      <c r="CE80" s="68">
        <f t="shared" si="110"/>
        <v>0</v>
      </c>
      <c r="CF80" s="68">
        <f t="shared" si="111"/>
        <v>0</v>
      </c>
      <c r="CG80" s="68">
        <f t="shared" si="112"/>
        <v>1</v>
      </c>
      <c r="CH80" s="68">
        <f t="shared" si="113"/>
        <v>0</v>
      </c>
      <c r="CI80" s="68">
        <f t="shared" si="114"/>
        <v>0</v>
      </c>
      <c r="CJ80" s="69">
        <f t="shared" si="115"/>
        <v>1</v>
      </c>
      <c r="CM80" s="67">
        <f t="shared" si="120"/>
        <v>910.8</v>
      </c>
      <c r="CN80" s="68">
        <f t="shared" si="49"/>
        <v>1409.1000000000001</v>
      </c>
      <c r="CO80" s="68">
        <f t="shared" si="50"/>
        <v>1079</v>
      </c>
      <c r="CP80" s="68">
        <f t="shared" si="51"/>
        <v>1069.5</v>
      </c>
      <c r="CQ80" s="68">
        <f t="shared" si="52"/>
        <v>452.1</v>
      </c>
      <c r="CR80" s="68">
        <f t="shared" si="53"/>
        <v>524.40000000000009</v>
      </c>
      <c r="CS80" s="69">
        <f t="shared" si="54"/>
        <v>972.3</v>
      </c>
      <c r="CU80" s="511">
        <f>SUM(SUMIF($AZ$8:$BF$8, {"NON";"NEUT"}, AZ80:BF80))/config!$AC$16</f>
        <v>25</v>
      </c>
      <c r="CV80" s="512">
        <f t="shared" si="121"/>
        <v>0.71874999999999956</v>
      </c>
      <c r="CY80" s="67">
        <f>SUM(C84*$CY$108, C191*$CY$109, C298*$CY$110, C405*$CY$111, C512*$CY$112, C619*$CY$113, C726*$CY$114)/config!$AC$16</f>
        <v>0.2</v>
      </c>
      <c r="CZ80" s="68">
        <f>SUM(SUM(D84:E84)*$CY$108, SUM(D191:E191)*$CY$109, SUM(D298:E298)*$CY$110, SUM(D405:E405)*$CY$111, SUM(D512:E512)*$CY$112, SUM(D619:E619)*$CY$113, SUM(D726:E726)*$CY$114)/config!$AC$16</f>
        <v>22.8</v>
      </c>
      <c r="DA80" s="68">
        <f>SUM(SUM(F84:G84)*$CY$108, SUM(F191:G191)*$CY$109, SUM(F298:G298)*$CY$110, SUM(F405:G405)*$CY$111, SUM(F512:G512)*$CY$112, SUM(F619:G619)*$CY$113, SUM(F726:G726)*$CY$114)/config!$AC$16</f>
        <v>1.8</v>
      </c>
      <c r="DB80" s="68">
        <f>SUM(H84*$CY$108, H191*$CY$109, H298*$CY$110, H405*$CY$111, H512*$CY$112, H619*$CY$113, H726*$CY$114)/config!$AC$16</f>
        <v>0.2</v>
      </c>
      <c r="DC80" s="69">
        <f>SUM(SUM(I84:L84)*$CY$108, SUM(I191:L191)*$CY$109, SUM(I298:L298)*$CY$110, SUM(I405:L405)*$CY$111, SUM(I512:L512)*$CY$112, SUM(I619:L619)*$CY$113, SUM(I726:L726)*$CY$114)/config!$AC$16</f>
        <v>0</v>
      </c>
    </row>
    <row r="81" spans="1:107" ht="15" x14ac:dyDescent="0.25">
      <c r="A81" s="190" t="s">
        <v>110</v>
      </c>
      <c r="B81" s="642">
        <v>21</v>
      </c>
      <c r="C81" s="184">
        <v>0</v>
      </c>
      <c r="D81" s="184">
        <v>19</v>
      </c>
      <c r="E81" s="184">
        <v>0</v>
      </c>
      <c r="F81" s="184">
        <v>2</v>
      </c>
      <c r="G81" s="184">
        <v>0</v>
      </c>
      <c r="H81" s="184">
        <v>0</v>
      </c>
      <c r="I81" s="184">
        <v>0</v>
      </c>
      <c r="J81" s="184">
        <v>0</v>
      </c>
      <c r="K81" s="184">
        <v>0</v>
      </c>
      <c r="L81" s="184">
        <v>0</v>
      </c>
      <c r="M81" s="654" t="s">
        <v>24</v>
      </c>
      <c r="N81" s="669" t="s">
        <v>110</v>
      </c>
      <c r="O81" s="642">
        <v>0</v>
      </c>
      <c r="P81" s="184">
        <v>0</v>
      </c>
      <c r="Q81" s="184">
        <v>0</v>
      </c>
      <c r="R81" s="184">
        <v>0</v>
      </c>
      <c r="S81" s="184">
        <v>1</v>
      </c>
      <c r="T81" s="184">
        <v>1</v>
      </c>
      <c r="U81" s="184">
        <v>1</v>
      </c>
      <c r="V81" s="184">
        <v>12</v>
      </c>
      <c r="W81" s="184">
        <v>6</v>
      </c>
      <c r="X81" s="184">
        <v>0</v>
      </c>
      <c r="Y81" s="184">
        <v>0</v>
      </c>
      <c r="Z81" s="184">
        <v>0</v>
      </c>
      <c r="AA81" s="184">
        <v>0</v>
      </c>
      <c r="AB81" s="184">
        <v>0</v>
      </c>
      <c r="AC81" s="185">
        <v>42.7</v>
      </c>
      <c r="AD81" s="185">
        <v>47.9</v>
      </c>
      <c r="AE81" s="184">
        <v>0</v>
      </c>
      <c r="AF81" s="185">
        <v>0</v>
      </c>
      <c r="AG81" s="184">
        <v>0</v>
      </c>
      <c r="AH81" s="185">
        <v>0</v>
      </c>
      <c r="AI81" s="184">
        <v>0</v>
      </c>
      <c r="AJ81" s="643">
        <v>0</v>
      </c>
      <c r="AP81" s="401">
        <f t="shared" si="116"/>
        <v>10</v>
      </c>
      <c r="AR81" s="56">
        <f t="shared" si="117"/>
        <v>0.72916666666666619</v>
      </c>
      <c r="AS81" s="67">
        <f>SUM(C85,C192,C299,C406,C513,C620,C727)/config!$AC$13</f>
        <v>0.14285714285714285</v>
      </c>
      <c r="AT81" s="68">
        <f>SUM(D85:E85,D192:E192,D299:E299,D406:E406,D513:E513,D620:E620,D727:E727)/config!$AC$13</f>
        <v>15.857142857142858</v>
      </c>
      <c r="AU81" s="68">
        <f>SUM(F85:G85,F192:G192,F299:G299,F406:G406,F513:G513,F620:G620,F727:G727)/config!$AC$13</f>
        <v>1.4285714285714286</v>
      </c>
      <c r="AV81" s="68">
        <f>SUM(H85,H192,H299,H406,H513,H620,H727)/config!$AC$13</f>
        <v>0</v>
      </c>
      <c r="AW81" s="69">
        <f>SUM(I85:L85,I192:L192,I299:L299,I406:L406,I513:L513,I620:L620,I727:L727)/config!$AC$13</f>
        <v>0</v>
      </c>
      <c r="AY81" s="56">
        <f t="shared" si="118"/>
        <v>0.72916666666666619</v>
      </c>
      <c r="AZ81" s="70">
        <f t="shared" si="85"/>
        <v>14</v>
      </c>
      <c r="BA81" s="71">
        <f t="shared" si="86"/>
        <v>25</v>
      </c>
      <c r="BB81" s="71">
        <f t="shared" si="87"/>
        <v>23</v>
      </c>
      <c r="BC81" s="71">
        <f t="shared" si="88"/>
        <v>15</v>
      </c>
      <c r="BD81" s="71">
        <f t="shared" si="89"/>
        <v>3</v>
      </c>
      <c r="BE81" s="71">
        <f t="shared" si="90"/>
        <v>5</v>
      </c>
      <c r="BF81" s="72">
        <f t="shared" si="91"/>
        <v>37</v>
      </c>
      <c r="BG81" s="45"/>
      <c r="BH81" s="56">
        <f t="shared" si="92"/>
        <v>0.72916666666666619</v>
      </c>
      <c r="BI81" s="67">
        <f t="shared" si="93"/>
        <v>44.7</v>
      </c>
      <c r="BJ81" s="68">
        <f t="shared" si="94"/>
        <v>44.7</v>
      </c>
      <c r="BK81" s="68">
        <f t="shared" si="95"/>
        <v>43.5</v>
      </c>
      <c r="BL81" s="68">
        <f t="shared" si="96"/>
        <v>44.3</v>
      </c>
      <c r="BM81" s="68">
        <f t="shared" si="97"/>
        <v>37.700000000000003</v>
      </c>
      <c r="BN81" s="68">
        <f t="shared" si="98"/>
        <v>39.799999999999997</v>
      </c>
      <c r="BO81" s="69">
        <f t="shared" si="99"/>
        <v>46.6</v>
      </c>
      <c r="BP81" s="63"/>
      <c r="BQ81" s="64">
        <f t="shared" si="100"/>
        <v>0.72916666666666619</v>
      </c>
      <c r="BR81" s="67">
        <f t="shared" si="101"/>
        <v>51.8</v>
      </c>
      <c r="BS81" s="68">
        <f t="shared" si="102"/>
        <v>50.1</v>
      </c>
      <c r="BT81" s="68">
        <f t="shared" si="103"/>
        <v>49.4</v>
      </c>
      <c r="BU81" s="68">
        <f t="shared" si="104"/>
        <v>51.1</v>
      </c>
      <c r="BV81" s="68" t="str">
        <f t="shared" si="105"/>
        <v/>
      </c>
      <c r="BW81" s="68" t="str">
        <f t="shared" si="106"/>
        <v/>
      </c>
      <c r="BX81" s="69">
        <f t="shared" si="107"/>
        <v>51.7</v>
      </c>
      <c r="BY81" s="65"/>
      <c r="BZ81" s="66">
        <f t="shared" si="119"/>
        <v>43.042857142857144</v>
      </c>
      <c r="CA81" s="414">
        <f t="shared" si="108"/>
        <v>50.820000000000007</v>
      </c>
      <c r="CB81" s="416">
        <f t="shared" si="122"/>
        <v>60</v>
      </c>
      <c r="CC81" s="65"/>
      <c r="CD81" s="67">
        <f t="shared" si="109"/>
        <v>0</v>
      </c>
      <c r="CE81" s="68">
        <f t="shared" si="110"/>
        <v>1</v>
      </c>
      <c r="CF81" s="68">
        <f t="shared" si="111"/>
        <v>0</v>
      </c>
      <c r="CG81" s="68">
        <f t="shared" si="112"/>
        <v>0</v>
      </c>
      <c r="CH81" s="68">
        <f t="shared" si="113"/>
        <v>0</v>
      </c>
      <c r="CI81" s="68">
        <f t="shared" si="114"/>
        <v>0</v>
      </c>
      <c r="CJ81" s="69">
        <f t="shared" si="115"/>
        <v>1</v>
      </c>
      <c r="CM81" s="67">
        <f t="shared" si="120"/>
        <v>625.80000000000007</v>
      </c>
      <c r="CN81" s="68">
        <f t="shared" si="49"/>
        <v>1117.5</v>
      </c>
      <c r="CO81" s="68">
        <f t="shared" si="50"/>
        <v>1000.5</v>
      </c>
      <c r="CP81" s="68">
        <f t="shared" si="51"/>
        <v>664.5</v>
      </c>
      <c r="CQ81" s="68">
        <f t="shared" si="52"/>
        <v>113.10000000000001</v>
      </c>
      <c r="CR81" s="68">
        <f t="shared" si="53"/>
        <v>199</v>
      </c>
      <c r="CS81" s="69">
        <f t="shared" si="54"/>
        <v>1724.2</v>
      </c>
      <c r="CU81" s="511">
        <f>SUM(SUMIF($AZ$8:$BF$8, {"NON";"NEUT"}, AZ81:BF81))/config!$AC$16</f>
        <v>22.8</v>
      </c>
      <c r="CV81" s="512">
        <f t="shared" si="121"/>
        <v>0.72916666666666619</v>
      </c>
      <c r="CY81" s="67">
        <f>SUM(C85*$CY$108, C192*$CY$109, C299*$CY$110, C406*$CY$111, C513*$CY$112, C620*$CY$113, C727*$CY$114)/config!$AC$16</f>
        <v>0.2</v>
      </c>
      <c r="CZ81" s="68">
        <f>SUM(SUM(D85:E85)*$CY$108, SUM(D192:E192)*$CY$109, SUM(D299:E299)*$CY$110, SUM(D406:E406)*$CY$111, SUM(D513:E513)*$CY$112, SUM(D620:E620)*$CY$113, SUM(D727:E727)*$CY$114)/config!$AC$16</f>
        <v>21</v>
      </c>
      <c r="DA81" s="68">
        <f>SUM(SUM(F85:G85)*$CY$108, SUM(F192:G192)*$CY$109, SUM(F299:G299)*$CY$110, SUM(F406:G406)*$CY$111, SUM(F513:G513)*$CY$112, SUM(F620:G620)*$CY$113, SUM(F727:G727)*$CY$114)/config!$AC$16</f>
        <v>1.6</v>
      </c>
      <c r="DB81" s="68">
        <f>SUM(H85*$CY$108, H192*$CY$109, H299*$CY$110, H406*$CY$111, H513*$CY$112, H620*$CY$113, H727*$CY$114)/config!$AC$16</f>
        <v>0</v>
      </c>
      <c r="DC81" s="69">
        <f>SUM(SUM(I85:L85)*$CY$108, SUM(I192:L192)*$CY$109, SUM(I299:L299)*$CY$110, SUM(I406:L406)*$CY$111, SUM(I513:L513)*$CY$112, SUM(I620:L620)*$CY$113, SUM(I727:L727)*$CY$114)/config!$AC$16</f>
        <v>0</v>
      </c>
    </row>
    <row r="82" spans="1:107" ht="15" x14ac:dyDescent="0.25">
      <c r="A82" s="190" t="s">
        <v>111</v>
      </c>
      <c r="B82" s="642">
        <v>25</v>
      </c>
      <c r="C82" s="184">
        <v>1</v>
      </c>
      <c r="D82" s="184">
        <v>23</v>
      </c>
      <c r="E82" s="184">
        <v>0</v>
      </c>
      <c r="F82" s="184">
        <v>1</v>
      </c>
      <c r="G82" s="184">
        <v>0</v>
      </c>
      <c r="H82" s="184">
        <v>0</v>
      </c>
      <c r="I82" s="184">
        <v>0</v>
      </c>
      <c r="J82" s="184">
        <v>0</v>
      </c>
      <c r="K82" s="184">
        <v>0</v>
      </c>
      <c r="L82" s="184">
        <v>0</v>
      </c>
      <c r="M82" s="654" t="s">
        <v>24</v>
      </c>
      <c r="N82" s="669" t="s">
        <v>111</v>
      </c>
      <c r="O82" s="642">
        <v>0</v>
      </c>
      <c r="P82" s="184">
        <v>0</v>
      </c>
      <c r="Q82" s="184">
        <v>0</v>
      </c>
      <c r="R82" s="184">
        <v>0</v>
      </c>
      <c r="S82" s="184">
        <v>0</v>
      </c>
      <c r="T82" s="184">
        <v>4</v>
      </c>
      <c r="U82" s="184">
        <v>6</v>
      </c>
      <c r="V82" s="184">
        <v>9</v>
      </c>
      <c r="W82" s="184">
        <v>2</v>
      </c>
      <c r="X82" s="184">
        <v>4</v>
      </c>
      <c r="Y82" s="184">
        <v>0</v>
      </c>
      <c r="Z82" s="184">
        <v>0</v>
      </c>
      <c r="AA82" s="184">
        <v>0</v>
      </c>
      <c r="AB82" s="184">
        <v>0</v>
      </c>
      <c r="AC82" s="185">
        <v>41.9</v>
      </c>
      <c r="AD82" s="185">
        <v>51.2</v>
      </c>
      <c r="AE82" s="184">
        <v>0</v>
      </c>
      <c r="AF82" s="185">
        <v>0</v>
      </c>
      <c r="AG82" s="184">
        <v>0</v>
      </c>
      <c r="AH82" s="185">
        <v>0</v>
      </c>
      <c r="AI82" s="184">
        <v>0</v>
      </c>
      <c r="AJ82" s="643">
        <v>0</v>
      </c>
      <c r="AP82" s="401">
        <f t="shared" si="116"/>
        <v>7</v>
      </c>
      <c r="AR82" s="56">
        <f t="shared" si="117"/>
        <v>0.73958333333333282</v>
      </c>
      <c r="AS82" s="67">
        <f>SUM(C86,C193,C300,C407,C514,C621,C728)/config!$AC$13</f>
        <v>1</v>
      </c>
      <c r="AT82" s="68">
        <f>SUM(D86:E86,D193:E193,D300:E300,D407:E407,D514:E514,D621:E621,D728:E728)/config!$AC$13</f>
        <v>18.571428571428573</v>
      </c>
      <c r="AU82" s="68">
        <f>SUM(F86:G86,F193:G193,F300:G300,F407:G407,F514:G514,F621:G621,F728:G728)/config!$AC$13</f>
        <v>1</v>
      </c>
      <c r="AV82" s="68">
        <f>SUM(H86,H193,H300,H407,H514,H621,H728)/config!$AC$13</f>
        <v>0</v>
      </c>
      <c r="AW82" s="69">
        <f>SUM(I86:L86,I193:L193,I300:L300,I407:L407,I514:L514,I621:L621,I728:L728)/config!$AC$13</f>
        <v>0</v>
      </c>
      <c r="AY82" s="56">
        <f t="shared" si="118"/>
        <v>0.73958333333333282</v>
      </c>
      <c r="AZ82" s="70">
        <f t="shared" si="85"/>
        <v>24</v>
      </c>
      <c r="BA82" s="71">
        <f t="shared" si="86"/>
        <v>25</v>
      </c>
      <c r="BB82" s="71">
        <f t="shared" si="87"/>
        <v>19</v>
      </c>
      <c r="BC82" s="71">
        <f t="shared" si="88"/>
        <v>20</v>
      </c>
      <c r="BD82" s="71">
        <f t="shared" si="89"/>
        <v>17</v>
      </c>
      <c r="BE82" s="71">
        <f t="shared" si="90"/>
        <v>11</v>
      </c>
      <c r="BF82" s="72">
        <f t="shared" si="91"/>
        <v>28</v>
      </c>
      <c r="BG82" s="45"/>
      <c r="BH82" s="56">
        <f t="shared" si="92"/>
        <v>0.73958333333333282</v>
      </c>
      <c r="BI82" s="67">
        <f t="shared" si="93"/>
        <v>46.2</v>
      </c>
      <c r="BJ82" s="68">
        <f t="shared" si="94"/>
        <v>42.9</v>
      </c>
      <c r="BK82" s="68">
        <f t="shared" si="95"/>
        <v>47.6</v>
      </c>
      <c r="BL82" s="68">
        <f t="shared" si="96"/>
        <v>43.8</v>
      </c>
      <c r="BM82" s="68">
        <f t="shared" si="97"/>
        <v>41.7</v>
      </c>
      <c r="BN82" s="68">
        <f t="shared" si="98"/>
        <v>36.1</v>
      </c>
      <c r="BO82" s="69">
        <f t="shared" si="99"/>
        <v>46.8</v>
      </c>
      <c r="BP82" s="63"/>
      <c r="BQ82" s="64">
        <f t="shared" si="100"/>
        <v>0.73958333333333282</v>
      </c>
      <c r="BR82" s="67">
        <f t="shared" si="101"/>
        <v>59.9</v>
      </c>
      <c r="BS82" s="68">
        <f t="shared" si="102"/>
        <v>54.8</v>
      </c>
      <c r="BT82" s="68">
        <f t="shared" si="103"/>
        <v>59.3</v>
      </c>
      <c r="BU82" s="68">
        <f t="shared" si="104"/>
        <v>51</v>
      </c>
      <c r="BV82" s="68">
        <f t="shared" si="105"/>
        <v>49.9</v>
      </c>
      <c r="BW82" s="68">
        <f t="shared" si="106"/>
        <v>47.4</v>
      </c>
      <c r="BX82" s="69">
        <f t="shared" si="107"/>
        <v>51.8</v>
      </c>
      <c r="BY82" s="65"/>
      <c r="BZ82" s="66">
        <f t="shared" si="119"/>
        <v>43.585714285714289</v>
      </c>
      <c r="CA82" s="414">
        <f t="shared" si="108"/>
        <v>53.442857142857136</v>
      </c>
      <c r="CB82" s="416">
        <f t="shared" si="122"/>
        <v>60</v>
      </c>
      <c r="CC82" s="65"/>
      <c r="CD82" s="67">
        <f t="shared" si="109"/>
        <v>3</v>
      </c>
      <c r="CE82" s="68">
        <f t="shared" si="110"/>
        <v>1</v>
      </c>
      <c r="CF82" s="68">
        <f t="shared" si="111"/>
        <v>2</v>
      </c>
      <c r="CG82" s="68">
        <f t="shared" si="112"/>
        <v>1</v>
      </c>
      <c r="CH82" s="68">
        <f t="shared" si="113"/>
        <v>0</v>
      </c>
      <c r="CI82" s="68">
        <f t="shared" si="114"/>
        <v>0</v>
      </c>
      <c r="CJ82" s="69">
        <f t="shared" si="115"/>
        <v>0</v>
      </c>
      <c r="CM82" s="67">
        <f t="shared" si="120"/>
        <v>1108.8000000000002</v>
      </c>
      <c r="CN82" s="68">
        <f t="shared" si="49"/>
        <v>1072.5</v>
      </c>
      <c r="CO82" s="68">
        <f t="shared" si="50"/>
        <v>904.4</v>
      </c>
      <c r="CP82" s="68">
        <f t="shared" si="51"/>
        <v>876</v>
      </c>
      <c r="CQ82" s="68">
        <f t="shared" si="52"/>
        <v>708.90000000000009</v>
      </c>
      <c r="CR82" s="68">
        <f t="shared" si="53"/>
        <v>397.1</v>
      </c>
      <c r="CS82" s="69">
        <f t="shared" si="54"/>
        <v>1310.3999999999999</v>
      </c>
      <c r="CU82" s="511">
        <f>SUM(SUMIF($AZ$8:$BF$8, {"NON";"NEUT"}, AZ82:BF82))/config!$AC$16</f>
        <v>23.2</v>
      </c>
      <c r="CV82" s="512">
        <f t="shared" si="121"/>
        <v>0.73958333333333282</v>
      </c>
      <c r="CY82" s="67">
        <f>SUM(C86*$CY$108, C193*$CY$109, C300*$CY$110, C407*$CY$111, C514*$CY$112, C621*$CY$113, C728*$CY$114)/config!$AC$16</f>
        <v>1</v>
      </c>
      <c r="CZ82" s="68">
        <f>SUM(SUM(D86:E86)*$CY$108, SUM(D193:E193)*$CY$109, SUM(D300:E300)*$CY$110, SUM(D407:E407)*$CY$111, SUM(D514:E514)*$CY$112, SUM(D621:E621)*$CY$113, SUM(D728:E728)*$CY$114)/config!$AC$16</f>
        <v>20.8</v>
      </c>
      <c r="DA82" s="68">
        <f>SUM(SUM(F86:G86)*$CY$108, SUM(F193:G193)*$CY$109, SUM(F300:G300)*$CY$110, SUM(F407:G407)*$CY$111, SUM(F514:G514)*$CY$112, SUM(F621:G621)*$CY$113, SUM(F728:G728)*$CY$114)/config!$AC$16</f>
        <v>1.4</v>
      </c>
      <c r="DB82" s="68">
        <f>SUM(H86*$CY$108, H193*$CY$109, H300*$CY$110, H407*$CY$111, H514*$CY$112, H621*$CY$113, H728*$CY$114)/config!$AC$16</f>
        <v>0</v>
      </c>
      <c r="DC82" s="69">
        <f>SUM(SUM(I86:L86)*$CY$108, SUM(I193:L193)*$CY$109, SUM(I300:L300)*$CY$110, SUM(I407:L407)*$CY$111, SUM(I514:L514)*$CY$112, SUM(I621:L621)*$CY$113, SUM(I728:L728)*$CY$114)/config!$AC$16</f>
        <v>0</v>
      </c>
    </row>
    <row r="83" spans="1:107" ht="15" x14ac:dyDescent="0.25">
      <c r="A83" s="190" t="s">
        <v>67</v>
      </c>
      <c r="B83" s="642">
        <v>19</v>
      </c>
      <c r="C83" s="184">
        <v>0</v>
      </c>
      <c r="D83" s="184">
        <v>18</v>
      </c>
      <c r="E83" s="184">
        <v>0</v>
      </c>
      <c r="F83" s="184">
        <v>1</v>
      </c>
      <c r="G83" s="184">
        <v>0</v>
      </c>
      <c r="H83" s="184">
        <v>0</v>
      </c>
      <c r="I83" s="184">
        <v>0</v>
      </c>
      <c r="J83" s="184">
        <v>0</v>
      </c>
      <c r="K83" s="184">
        <v>0</v>
      </c>
      <c r="L83" s="184">
        <v>0</v>
      </c>
      <c r="M83" s="654" t="s">
        <v>24</v>
      </c>
      <c r="N83" s="669" t="s">
        <v>67</v>
      </c>
      <c r="O83" s="642">
        <v>0</v>
      </c>
      <c r="P83" s="184">
        <v>0</v>
      </c>
      <c r="Q83" s="184">
        <v>0</v>
      </c>
      <c r="R83" s="184">
        <v>0</v>
      </c>
      <c r="S83" s="184">
        <v>0</v>
      </c>
      <c r="T83" s="184">
        <v>1</v>
      </c>
      <c r="U83" s="184">
        <v>6</v>
      </c>
      <c r="V83" s="184">
        <v>5</v>
      </c>
      <c r="W83" s="184">
        <v>3</v>
      </c>
      <c r="X83" s="184">
        <v>4</v>
      </c>
      <c r="Y83" s="184">
        <v>0</v>
      </c>
      <c r="Z83" s="184">
        <v>0</v>
      </c>
      <c r="AA83" s="184">
        <v>0</v>
      </c>
      <c r="AB83" s="184">
        <v>0</v>
      </c>
      <c r="AC83" s="185">
        <v>42.9</v>
      </c>
      <c r="AD83" s="185">
        <v>51.1</v>
      </c>
      <c r="AE83" s="184">
        <v>0</v>
      </c>
      <c r="AF83" s="185">
        <v>0</v>
      </c>
      <c r="AG83" s="184">
        <v>0</v>
      </c>
      <c r="AH83" s="185">
        <v>0</v>
      </c>
      <c r="AI83" s="184">
        <v>0</v>
      </c>
      <c r="AJ83" s="643">
        <v>0</v>
      </c>
      <c r="AP83" s="401">
        <f t="shared" si="116"/>
        <v>6</v>
      </c>
      <c r="AR83" s="56">
        <f t="shared" si="117"/>
        <v>0.74999999999999944</v>
      </c>
      <c r="AS83" s="67">
        <f>SUM(C87,C194,C301,C408,C515,C622,C729)/config!$AC$13</f>
        <v>0.42857142857142855</v>
      </c>
      <c r="AT83" s="68">
        <f>SUM(D87:E87,D194:E194,D301:E301,D408:E408,D515:E515,D622:E622,D729:E729)/config!$AC$13</f>
        <v>13.142857142857142</v>
      </c>
      <c r="AU83" s="68">
        <f>SUM(F87:G87,F194:G194,F301:G301,F408:G408,F515:G515,F622:G622,F729:G729)/config!$AC$13</f>
        <v>0.8571428571428571</v>
      </c>
      <c r="AV83" s="68">
        <f>SUM(H87,H194,H301,H408,H515,H622,H729)/config!$AC$13</f>
        <v>0</v>
      </c>
      <c r="AW83" s="69">
        <f>SUM(I87:L87,I194:L194,I301:L301,I408:L408,I515:L515,I622:L622,I729:L729)/config!$AC$13</f>
        <v>0</v>
      </c>
      <c r="AY83" s="56">
        <f t="shared" si="118"/>
        <v>0.74999999999999944</v>
      </c>
      <c r="AZ83" s="70">
        <f t="shared" si="85"/>
        <v>16</v>
      </c>
      <c r="BA83" s="71">
        <f t="shared" si="86"/>
        <v>21</v>
      </c>
      <c r="BB83" s="71">
        <f t="shared" si="87"/>
        <v>14</v>
      </c>
      <c r="BC83" s="71">
        <f t="shared" si="88"/>
        <v>20</v>
      </c>
      <c r="BD83" s="71">
        <f t="shared" si="89"/>
        <v>6</v>
      </c>
      <c r="BE83" s="71">
        <f t="shared" si="90"/>
        <v>11</v>
      </c>
      <c r="BF83" s="72">
        <f t="shared" si="91"/>
        <v>13</v>
      </c>
      <c r="BG83" s="45"/>
      <c r="BH83" s="56">
        <f t="shared" si="92"/>
        <v>0.74999999999999944</v>
      </c>
      <c r="BI83" s="67">
        <f t="shared" si="93"/>
        <v>45.2</v>
      </c>
      <c r="BJ83" s="68">
        <f t="shared" si="94"/>
        <v>44.8</v>
      </c>
      <c r="BK83" s="68">
        <f t="shared" si="95"/>
        <v>45.4</v>
      </c>
      <c r="BL83" s="68">
        <f t="shared" si="96"/>
        <v>43.2</v>
      </c>
      <c r="BM83" s="68">
        <f t="shared" si="97"/>
        <v>43.1</v>
      </c>
      <c r="BN83" s="68">
        <f t="shared" si="98"/>
        <v>41.8</v>
      </c>
      <c r="BO83" s="69">
        <f t="shared" si="99"/>
        <v>42.9</v>
      </c>
      <c r="BP83" s="63"/>
      <c r="BQ83" s="64">
        <f t="shared" si="100"/>
        <v>0.74999999999999944</v>
      </c>
      <c r="BR83" s="67">
        <f t="shared" si="101"/>
        <v>53.4</v>
      </c>
      <c r="BS83" s="68">
        <f t="shared" si="102"/>
        <v>51</v>
      </c>
      <c r="BT83" s="68">
        <f t="shared" si="103"/>
        <v>50.5</v>
      </c>
      <c r="BU83" s="68">
        <f t="shared" si="104"/>
        <v>47.4</v>
      </c>
      <c r="BV83" s="68" t="str">
        <f t="shared" si="105"/>
        <v/>
      </c>
      <c r="BW83" s="68">
        <f t="shared" si="106"/>
        <v>53.1</v>
      </c>
      <c r="BX83" s="69">
        <f t="shared" si="107"/>
        <v>48.6</v>
      </c>
      <c r="BY83" s="65"/>
      <c r="BZ83" s="66">
        <f t="shared" si="119"/>
        <v>43.771428571428565</v>
      </c>
      <c r="CA83" s="414">
        <f t="shared" si="108"/>
        <v>50.666666666666664</v>
      </c>
      <c r="CB83" s="416">
        <f t="shared" si="122"/>
        <v>60</v>
      </c>
      <c r="CC83" s="65"/>
      <c r="CD83" s="67">
        <f t="shared" si="109"/>
        <v>1</v>
      </c>
      <c r="CE83" s="68">
        <f t="shared" si="110"/>
        <v>0</v>
      </c>
      <c r="CF83" s="68">
        <f t="shared" si="111"/>
        <v>1</v>
      </c>
      <c r="CG83" s="68">
        <f t="shared" si="112"/>
        <v>1</v>
      </c>
      <c r="CH83" s="68">
        <f t="shared" si="113"/>
        <v>0</v>
      </c>
      <c r="CI83" s="68">
        <f t="shared" si="114"/>
        <v>0</v>
      </c>
      <c r="CJ83" s="69">
        <f t="shared" si="115"/>
        <v>0</v>
      </c>
      <c r="CM83" s="67">
        <f t="shared" si="120"/>
        <v>723.2</v>
      </c>
      <c r="CN83" s="68">
        <f t="shared" si="49"/>
        <v>940.8</v>
      </c>
      <c r="CO83" s="68">
        <f t="shared" si="50"/>
        <v>635.6</v>
      </c>
      <c r="CP83" s="68">
        <f t="shared" si="51"/>
        <v>864</v>
      </c>
      <c r="CQ83" s="68">
        <f t="shared" si="52"/>
        <v>258.60000000000002</v>
      </c>
      <c r="CR83" s="68">
        <f t="shared" si="53"/>
        <v>459.79999999999995</v>
      </c>
      <c r="CS83" s="69">
        <f t="shared" si="54"/>
        <v>557.69999999999993</v>
      </c>
      <c r="CU83" s="511">
        <f>SUM(SUMIF($AZ$8:$BF$8, {"NON";"NEUT"}, AZ83:BF83))/config!$AC$16</f>
        <v>16.8</v>
      </c>
      <c r="CV83" s="512">
        <f t="shared" si="121"/>
        <v>0.74999999999999944</v>
      </c>
      <c r="CY83" s="67">
        <f>SUM(C87*$CY$108, C194*$CY$109, C301*$CY$110, C408*$CY$111, C515*$CY$112, C622*$CY$113, C729*$CY$114)/config!$AC$16</f>
        <v>0.6</v>
      </c>
      <c r="CZ83" s="68">
        <f>SUM(SUM(D87:E87)*$CY$108, SUM(D194:E194)*$CY$109, SUM(D301:E301)*$CY$110, SUM(D408:E408)*$CY$111, SUM(D515:E515)*$CY$112, SUM(D622:E622)*$CY$113, SUM(D729:E729)*$CY$114)/config!$AC$16</f>
        <v>15.2</v>
      </c>
      <c r="DA83" s="68">
        <f>SUM(SUM(F87:G87)*$CY$108, SUM(F194:G194)*$CY$109, SUM(F301:G301)*$CY$110, SUM(F408:G408)*$CY$111, SUM(F515:G515)*$CY$112, SUM(F622:G622)*$CY$113, SUM(F729:G729)*$CY$114)/config!$AC$16</f>
        <v>1</v>
      </c>
      <c r="DB83" s="68">
        <f>SUM(H87*$CY$108, H194*$CY$109, H301*$CY$110, H408*$CY$111, H515*$CY$112, H622*$CY$113, H729*$CY$114)/config!$AC$16</f>
        <v>0</v>
      </c>
      <c r="DC83" s="69">
        <f>SUM(SUM(I87:L87)*$CY$108, SUM(I194:L194)*$CY$109, SUM(I301:L301)*$CY$110, SUM(I408:L408)*$CY$111, SUM(I515:L515)*$CY$112, SUM(I622:L622)*$CY$113, SUM(I729:L729)*$CY$114)/config!$AC$16</f>
        <v>0</v>
      </c>
    </row>
    <row r="84" spans="1:107" ht="15" x14ac:dyDescent="0.25">
      <c r="A84" s="190" t="s">
        <v>112</v>
      </c>
      <c r="B84" s="642">
        <v>22</v>
      </c>
      <c r="C84" s="184">
        <v>0</v>
      </c>
      <c r="D84" s="184">
        <v>21</v>
      </c>
      <c r="E84" s="184">
        <v>0</v>
      </c>
      <c r="F84" s="184">
        <v>1</v>
      </c>
      <c r="G84" s="184">
        <v>0</v>
      </c>
      <c r="H84" s="184">
        <v>0</v>
      </c>
      <c r="I84" s="184">
        <v>0</v>
      </c>
      <c r="J84" s="184">
        <v>0</v>
      </c>
      <c r="K84" s="184">
        <v>0</v>
      </c>
      <c r="L84" s="184">
        <v>0</v>
      </c>
      <c r="M84" s="654" t="s">
        <v>24</v>
      </c>
      <c r="N84" s="669" t="s">
        <v>112</v>
      </c>
      <c r="O84" s="642">
        <v>0</v>
      </c>
      <c r="P84" s="184">
        <v>0</v>
      </c>
      <c r="Q84" s="184">
        <v>0</v>
      </c>
      <c r="R84" s="184">
        <v>1</v>
      </c>
      <c r="S84" s="184">
        <v>1</v>
      </c>
      <c r="T84" s="184">
        <v>4</v>
      </c>
      <c r="U84" s="184">
        <v>5</v>
      </c>
      <c r="V84" s="184">
        <v>2</v>
      </c>
      <c r="W84" s="184">
        <v>3</v>
      </c>
      <c r="X84" s="184">
        <v>6</v>
      </c>
      <c r="Y84" s="184">
        <v>0</v>
      </c>
      <c r="Z84" s="184">
        <v>0</v>
      </c>
      <c r="AA84" s="184">
        <v>0</v>
      </c>
      <c r="AB84" s="184">
        <v>0</v>
      </c>
      <c r="AC84" s="185">
        <v>41.4</v>
      </c>
      <c r="AD84" s="185">
        <v>51.5</v>
      </c>
      <c r="AE84" s="184">
        <v>0</v>
      </c>
      <c r="AF84" s="185">
        <v>0</v>
      </c>
      <c r="AG84" s="184">
        <v>0</v>
      </c>
      <c r="AH84" s="185">
        <v>0</v>
      </c>
      <c r="AI84" s="184">
        <v>0</v>
      </c>
      <c r="AJ84" s="643">
        <v>0</v>
      </c>
      <c r="AP84" s="401">
        <f t="shared" si="116"/>
        <v>6</v>
      </c>
      <c r="AR84" s="56">
        <f t="shared" si="117"/>
        <v>0.76041666666666607</v>
      </c>
      <c r="AS84" s="67">
        <f>SUM(C88,C195,C302,C409,C516,C623,C730)/config!$AC$13</f>
        <v>0.42857142857142855</v>
      </c>
      <c r="AT84" s="68">
        <f>SUM(D88:E88,D195:E195,D302:E302,D409:E409,D516:E516,D623:E623,D730:E730)/config!$AC$13</f>
        <v>9.4285714285714288</v>
      </c>
      <c r="AU84" s="68">
        <f>SUM(F88:G88,F195:G195,F302:G302,F409:G409,F516:G516,F623:G623,F730:G730)/config!$AC$13</f>
        <v>0.8571428571428571</v>
      </c>
      <c r="AV84" s="68">
        <f>SUM(H88,H195,H302,H409,H516,H623,H730)/config!$AC$13</f>
        <v>0</v>
      </c>
      <c r="AW84" s="69">
        <f>SUM(I88:L88,I195:L195,I302:L302,I409:L409,I516:L516,I623:L623,I730:L730)/config!$AC$13</f>
        <v>0</v>
      </c>
      <c r="AY84" s="56">
        <f t="shared" si="118"/>
        <v>0.76041666666666607</v>
      </c>
      <c r="AZ84" s="70">
        <f t="shared" si="85"/>
        <v>8</v>
      </c>
      <c r="BA84" s="71">
        <f t="shared" si="86"/>
        <v>10</v>
      </c>
      <c r="BB84" s="71">
        <f t="shared" si="87"/>
        <v>13</v>
      </c>
      <c r="BC84" s="71">
        <f t="shared" si="88"/>
        <v>12</v>
      </c>
      <c r="BD84" s="71">
        <f t="shared" si="89"/>
        <v>11</v>
      </c>
      <c r="BE84" s="71">
        <f t="shared" si="90"/>
        <v>7</v>
      </c>
      <c r="BF84" s="72">
        <f t="shared" si="91"/>
        <v>14</v>
      </c>
      <c r="BG84" s="45"/>
      <c r="BH84" s="56">
        <f t="shared" si="92"/>
        <v>0.76041666666666607</v>
      </c>
      <c r="BI84" s="67">
        <f t="shared" si="93"/>
        <v>44.4</v>
      </c>
      <c r="BJ84" s="68">
        <f t="shared" si="94"/>
        <v>39.9</v>
      </c>
      <c r="BK84" s="68">
        <f t="shared" si="95"/>
        <v>42.2</v>
      </c>
      <c r="BL84" s="68">
        <f t="shared" si="96"/>
        <v>43</v>
      </c>
      <c r="BM84" s="68">
        <f t="shared" si="97"/>
        <v>41.8</v>
      </c>
      <c r="BN84" s="68">
        <f t="shared" si="98"/>
        <v>44.7</v>
      </c>
      <c r="BO84" s="69">
        <f t="shared" si="99"/>
        <v>48.3</v>
      </c>
      <c r="BP84" s="63"/>
      <c r="BQ84" s="64">
        <f t="shared" si="100"/>
        <v>0.76041666666666607</v>
      </c>
      <c r="BR84" s="67" t="str">
        <f t="shared" si="101"/>
        <v/>
      </c>
      <c r="BS84" s="68" t="str">
        <f t="shared" si="102"/>
        <v/>
      </c>
      <c r="BT84" s="68">
        <f t="shared" si="103"/>
        <v>46.2</v>
      </c>
      <c r="BU84" s="68">
        <f t="shared" si="104"/>
        <v>53.8</v>
      </c>
      <c r="BV84" s="68">
        <f t="shared" si="105"/>
        <v>51.2</v>
      </c>
      <c r="BW84" s="68" t="str">
        <f t="shared" si="106"/>
        <v/>
      </c>
      <c r="BX84" s="69">
        <f t="shared" si="107"/>
        <v>54.9</v>
      </c>
      <c r="BY84" s="65"/>
      <c r="BZ84" s="66">
        <f t="shared" si="119"/>
        <v>43.471428571428575</v>
      </c>
      <c r="CA84" s="414">
        <f t="shared" si="108"/>
        <v>51.524999999999999</v>
      </c>
      <c r="CB84" s="416">
        <f t="shared" si="122"/>
        <v>60</v>
      </c>
      <c r="CC84" s="65"/>
      <c r="CD84" s="67">
        <f t="shared" si="109"/>
        <v>0</v>
      </c>
      <c r="CE84" s="68">
        <f t="shared" si="110"/>
        <v>0</v>
      </c>
      <c r="CF84" s="68">
        <f t="shared" si="111"/>
        <v>0</v>
      </c>
      <c r="CG84" s="68">
        <f t="shared" si="112"/>
        <v>0</v>
      </c>
      <c r="CH84" s="68">
        <f t="shared" si="113"/>
        <v>0</v>
      </c>
      <c r="CI84" s="68">
        <f t="shared" si="114"/>
        <v>1</v>
      </c>
      <c r="CJ84" s="69">
        <f t="shared" si="115"/>
        <v>0</v>
      </c>
      <c r="CM84" s="67">
        <f t="shared" si="120"/>
        <v>355.2</v>
      </c>
      <c r="CN84" s="68">
        <f t="shared" si="49"/>
        <v>399</v>
      </c>
      <c r="CO84" s="68">
        <f t="shared" si="50"/>
        <v>548.6</v>
      </c>
      <c r="CP84" s="68">
        <f t="shared" si="51"/>
        <v>516</v>
      </c>
      <c r="CQ84" s="68">
        <f t="shared" si="52"/>
        <v>459.79999999999995</v>
      </c>
      <c r="CR84" s="68">
        <f t="shared" si="53"/>
        <v>312.90000000000003</v>
      </c>
      <c r="CS84" s="69">
        <f t="shared" si="54"/>
        <v>676.19999999999993</v>
      </c>
      <c r="CU84" s="511">
        <f>SUM(SUMIF($AZ$8:$BF$8, {"NON";"NEUT"}, AZ84:BF84))/config!$AC$16</f>
        <v>11.4</v>
      </c>
      <c r="CV84" s="512">
        <f t="shared" si="121"/>
        <v>0.76041666666666607</v>
      </c>
      <c r="CY84" s="67">
        <f>SUM(C88*$CY$108, C195*$CY$109, C302*$CY$110, C409*$CY$111, C516*$CY$112, C623*$CY$113, C730*$CY$114)/config!$AC$16</f>
        <v>0.4</v>
      </c>
      <c r="CZ84" s="68">
        <f>SUM(SUM(D88:E88)*$CY$108, SUM(D195:E195)*$CY$109, SUM(D302:E302)*$CY$110, SUM(D409:E409)*$CY$111, SUM(D516:E516)*$CY$112, SUM(D623:E623)*$CY$113, SUM(D730:E730)*$CY$114)/config!$AC$16</f>
        <v>10</v>
      </c>
      <c r="DA84" s="68">
        <f>SUM(SUM(F88:G88)*$CY$108, SUM(F195:G195)*$CY$109, SUM(F302:G302)*$CY$110, SUM(F409:G409)*$CY$111, SUM(F516:G516)*$CY$112, SUM(F623:G623)*$CY$113, SUM(F730:G730)*$CY$114)/config!$AC$16</f>
        <v>1</v>
      </c>
      <c r="DB84" s="68">
        <f>SUM(H88*$CY$108, H195*$CY$109, H302*$CY$110, H409*$CY$111, H516*$CY$112, H623*$CY$113, H730*$CY$114)/config!$AC$16</f>
        <v>0</v>
      </c>
      <c r="DC84" s="69">
        <f>SUM(SUM(I88:L88)*$CY$108, SUM(I195:L195)*$CY$109, SUM(I302:L302)*$CY$110, SUM(I409:L409)*$CY$111, SUM(I516:L516)*$CY$112, SUM(I623:L623)*$CY$113, SUM(I730:L730)*$CY$114)/config!$AC$16</f>
        <v>0</v>
      </c>
    </row>
    <row r="85" spans="1:107" ht="15" x14ac:dyDescent="0.25">
      <c r="A85" s="190" t="s">
        <v>113</v>
      </c>
      <c r="B85" s="642">
        <v>14</v>
      </c>
      <c r="C85" s="184">
        <v>0</v>
      </c>
      <c r="D85" s="184">
        <v>12</v>
      </c>
      <c r="E85" s="184">
        <v>0</v>
      </c>
      <c r="F85" s="184">
        <v>2</v>
      </c>
      <c r="G85" s="184">
        <v>0</v>
      </c>
      <c r="H85" s="184">
        <v>0</v>
      </c>
      <c r="I85" s="184">
        <v>0</v>
      </c>
      <c r="J85" s="184">
        <v>0</v>
      </c>
      <c r="K85" s="184">
        <v>0</v>
      </c>
      <c r="L85" s="184">
        <v>0</v>
      </c>
      <c r="M85" s="654" t="s">
        <v>24</v>
      </c>
      <c r="N85" s="669" t="s">
        <v>113</v>
      </c>
      <c r="O85" s="642">
        <v>0</v>
      </c>
      <c r="P85" s="184">
        <v>0</v>
      </c>
      <c r="Q85" s="184">
        <v>0</v>
      </c>
      <c r="R85" s="184">
        <v>0</v>
      </c>
      <c r="S85" s="184">
        <v>0</v>
      </c>
      <c r="T85" s="184">
        <v>0</v>
      </c>
      <c r="U85" s="184">
        <v>2</v>
      </c>
      <c r="V85" s="184">
        <v>7</v>
      </c>
      <c r="W85" s="184">
        <v>2</v>
      </c>
      <c r="X85" s="184">
        <v>3</v>
      </c>
      <c r="Y85" s="184">
        <v>0</v>
      </c>
      <c r="Z85" s="184">
        <v>0</v>
      </c>
      <c r="AA85" s="184">
        <v>0</v>
      </c>
      <c r="AB85" s="184">
        <v>0</v>
      </c>
      <c r="AC85" s="185">
        <v>44.7</v>
      </c>
      <c r="AD85" s="185">
        <v>51.8</v>
      </c>
      <c r="AE85" s="184">
        <v>0</v>
      </c>
      <c r="AF85" s="185">
        <v>0</v>
      </c>
      <c r="AG85" s="184">
        <v>0</v>
      </c>
      <c r="AH85" s="185">
        <v>0</v>
      </c>
      <c r="AI85" s="184">
        <v>0</v>
      </c>
      <c r="AJ85" s="643">
        <v>0</v>
      </c>
      <c r="AP85" s="401">
        <f t="shared" si="116"/>
        <v>5</v>
      </c>
      <c r="AR85" s="56">
        <f t="shared" si="117"/>
        <v>0.7708333333333327</v>
      </c>
      <c r="AS85" s="67">
        <f>SUM(C89,C196,C303,C410,C517,C624,C731)/config!$AC$13</f>
        <v>0</v>
      </c>
      <c r="AT85" s="68">
        <f>SUM(D89:E89,D196:E196,D303:E303,D410:E410,D517:E517,D624:E624,D731:E731)/config!$AC$13</f>
        <v>9.4285714285714288</v>
      </c>
      <c r="AU85" s="68">
        <f>SUM(F89:G89,F196:G196,F303:G303,F410:G410,F517:G517,F624:G624,F731:G731)/config!$AC$13</f>
        <v>0.7142857142857143</v>
      </c>
      <c r="AV85" s="68">
        <f>SUM(H89,H196,H303,H410,H517,H624,H731)/config!$AC$13</f>
        <v>0</v>
      </c>
      <c r="AW85" s="69">
        <f>SUM(I89:L89,I196:L196,I303:L303,I410:L410,I517:L517,I624:L624,I731:L731)/config!$AC$13</f>
        <v>0</v>
      </c>
      <c r="AY85" s="56">
        <f t="shared" si="118"/>
        <v>0.7708333333333327</v>
      </c>
      <c r="AZ85" s="70">
        <f t="shared" si="85"/>
        <v>19</v>
      </c>
      <c r="BA85" s="71">
        <f t="shared" si="86"/>
        <v>17</v>
      </c>
      <c r="BB85" s="71">
        <f t="shared" si="87"/>
        <v>8</v>
      </c>
      <c r="BC85" s="71">
        <f t="shared" si="88"/>
        <v>5</v>
      </c>
      <c r="BD85" s="71">
        <f t="shared" si="89"/>
        <v>6</v>
      </c>
      <c r="BE85" s="71">
        <f t="shared" si="90"/>
        <v>2</v>
      </c>
      <c r="BF85" s="72">
        <f t="shared" si="91"/>
        <v>14</v>
      </c>
      <c r="BG85" s="45"/>
      <c r="BH85" s="56">
        <f t="shared" si="92"/>
        <v>0.7708333333333327</v>
      </c>
      <c r="BI85" s="67">
        <f t="shared" si="93"/>
        <v>48.6</v>
      </c>
      <c r="BJ85" s="68">
        <f t="shared" si="94"/>
        <v>45.1</v>
      </c>
      <c r="BK85" s="68">
        <f t="shared" si="95"/>
        <v>42.1</v>
      </c>
      <c r="BL85" s="68">
        <f t="shared" si="96"/>
        <v>45.7</v>
      </c>
      <c r="BM85" s="68">
        <f t="shared" si="97"/>
        <v>35.1</v>
      </c>
      <c r="BN85" s="68">
        <f t="shared" si="98"/>
        <v>45</v>
      </c>
      <c r="BO85" s="69">
        <f t="shared" si="99"/>
        <v>45.3</v>
      </c>
      <c r="BP85" s="63"/>
      <c r="BQ85" s="64">
        <f t="shared" si="100"/>
        <v>0.7708333333333327</v>
      </c>
      <c r="BR85" s="67">
        <f t="shared" si="101"/>
        <v>55.5</v>
      </c>
      <c r="BS85" s="68">
        <f t="shared" si="102"/>
        <v>53.2</v>
      </c>
      <c r="BT85" s="68" t="str">
        <f t="shared" si="103"/>
        <v/>
      </c>
      <c r="BU85" s="68" t="str">
        <f t="shared" si="104"/>
        <v/>
      </c>
      <c r="BV85" s="68" t="str">
        <f t="shared" si="105"/>
        <v/>
      </c>
      <c r="BW85" s="68" t="str">
        <f t="shared" si="106"/>
        <v/>
      </c>
      <c r="BX85" s="69">
        <f t="shared" si="107"/>
        <v>55.1</v>
      </c>
      <c r="BY85" s="65"/>
      <c r="BZ85" s="66">
        <f t="shared" si="119"/>
        <v>43.842857142857149</v>
      </c>
      <c r="CA85" s="414">
        <f t="shared" si="108"/>
        <v>54.6</v>
      </c>
      <c r="CB85" s="416">
        <f t="shared" si="122"/>
        <v>60</v>
      </c>
      <c r="CC85" s="65"/>
      <c r="CD85" s="67">
        <f t="shared" si="109"/>
        <v>1</v>
      </c>
      <c r="CE85" s="68">
        <f t="shared" si="110"/>
        <v>0</v>
      </c>
      <c r="CF85" s="68">
        <f t="shared" si="111"/>
        <v>0</v>
      </c>
      <c r="CG85" s="68">
        <f t="shared" si="112"/>
        <v>0</v>
      </c>
      <c r="CH85" s="68">
        <f t="shared" si="113"/>
        <v>0</v>
      </c>
      <c r="CI85" s="68">
        <f t="shared" si="114"/>
        <v>0</v>
      </c>
      <c r="CJ85" s="69">
        <f t="shared" si="115"/>
        <v>0</v>
      </c>
      <c r="CM85" s="67">
        <f t="shared" si="120"/>
        <v>923.4</v>
      </c>
      <c r="CN85" s="68">
        <f t="shared" si="49"/>
        <v>766.7</v>
      </c>
      <c r="CO85" s="68">
        <f t="shared" si="50"/>
        <v>336.8</v>
      </c>
      <c r="CP85" s="68">
        <f t="shared" si="51"/>
        <v>228.5</v>
      </c>
      <c r="CQ85" s="68">
        <f t="shared" si="52"/>
        <v>210.60000000000002</v>
      </c>
      <c r="CR85" s="68">
        <f t="shared" si="53"/>
        <v>90</v>
      </c>
      <c r="CS85" s="69">
        <f t="shared" si="54"/>
        <v>634.19999999999993</v>
      </c>
      <c r="CU85" s="511">
        <f>SUM(SUMIF($AZ$8:$BF$8, {"NON";"NEUT"}, AZ85:BF85))/config!$AC$16</f>
        <v>12.6</v>
      </c>
      <c r="CV85" s="512">
        <f t="shared" si="121"/>
        <v>0.7708333333333327</v>
      </c>
      <c r="CY85" s="67">
        <f>SUM(C89*$CY$108, C196*$CY$109, C303*$CY$110, C410*$CY$111, C517*$CY$112, C624*$CY$113, C731*$CY$114)/config!$AC$16</f>
        <v>0</v>
      </c>
      <c r="CZ85" s="68">
        <f>SUM(SUM(D89:E89)*$CY$108, SUM(D196:E196)*$CY$109, SUM(D303:E303)*$CY$110, SUM(D410:E410)*$CY$111, SUM(D517:E517)*$CY$112, SUM(D624:E624)*$CY$113, SUM(D731:E731)*$CY$114)/config!$AC$16</f>
        <v>11.6</v>
      </c>
      <c r="DA85" s="68">
        <f>SUM(SUM(F89:G89)*$CY$108, SUM(F196:G196)*$CY$109, SUM(F303:G303)*$CY$110, SUM(F410:G410)*$CY$111, SUM(F517:G517)*$CY$112, SUM(F624:G624)*$CY$113, SUM(F731:G731)*$CY$114)/config!$AC$16</f>
        <v>1</v>
      </c>
      <c r="DB85" s="68">
        <f>SUM(H89*$CY$108, H196*$CY$109, H303*$CY$110, H410*$CY$111, H517*$CY$112, H624*$CY$113, H731*$CY$114)/config!$AC$16</f>
        <v>0</v>
      </c>
      <c r="DC85" s="69">
        <f>SUM(SUM(I89:L89)*$CY$108, SUM(I196:L196)*$CY$109, SUM(I303:L303)*$CY$110, SUM(I410:L410)*$CY$111, SUM(I517:L517)*$CY$112, SUM(I624:L624)*$CY$113, SUM(I731:L731)*$CY$114)/config!$AC$16</f>
        <v>0</v>
      </c>
    </row>
    <row r="86" spans="1:107" ht="15" x14ac:dyDescent="0.25">
      <c r="A86" s="190" t="s">
        <v>114</v>
      </c>
      <c r="B86" s="642">
        <v>24</v>
      </c>
      <c r="C86" s="184">
        <v>0</v>
      </c>
      <c r="D86" s="184">
        <v>23</v>
      </c>
      <c r="E86" s="184">
        <v>0</v>
      </c>
      <c r="F86" s="184">
        <v>1</v>
      </c>
      <c r="G86" s="184">
        <v>0</v>
      </c>
      <c r="H86" s="184">
        <v>0</v>
      </c>
      <c r="I86" s="184">
        <v>0</v>
      </c>
      <c r="J86" s="184">
        <v>0</v>
      </c>
      <c r="K86" s="184">
        <v>0</v>
      </c>
      <c r="L86" s="184">
        <v>0</v>
      </c>
      <c r="M86" s="654" t="s">
        <v>24</v>
      </c>
      <c r="N86" s="669" t="s">
        <v>114</v>
      </c>
      <c r="O86" s="642">
        <v>0</v>
      </c>
      <c r="P86" s="184">
        <v>0</v>
      </c>
      <c r="Q86" s="184">
        <v>0</v>
      </c>
      <c r="R86" s="184">
        <v>0</v>
      </c>
      <c r="S86" s="184">
        <v>0</v>
      </c>
      <c r="T86" s="184">
        <v>1</v>
      </c>
      <c r="U86" s="184">
        <v>3</v>
      </c>
      <c r="V86" s="184">
        <v>13</v>
      </c>
      <c r="W86" s="184">
        <v>1</v>
      </c>
      <c r="X86" s="184">
        <v>3</v>
      </c>
      <c r="Y86" s="184">
        <v>3</v>
      </c>
      <c r="Z86" s="184">
        <v>0</v>
      </c>
      <c r="AA86" s="184">
        <v>0</v>
      </c>
      <c r="AB86" s="184">
        <v>0</v>
      </c>
      <c r="AC86" s="185">
        <v>46.2</v>
      </c>
      <c r="AD86" s="185">
        <v>59.9</v>
      </c>
      <c r="AE86" s="184">
        <v>3</v>
      </c>
      <c r="AF86" s="185">
        <v>12.5</v>
      </c>
      <c r="AG86" s="184">
        <v>0</v>
      </c>
      <c r="AH86" s="185">
        <v>0</v>
      </c>
      <c r="AI86" s="184">
        <v>0</v>
      </c>
      <c r="AJ86" s="643">
        <v>0</v>
      </c>
      <c r="AP86" s="401">
        <f t="shared" si="116"/>
        <v>3</v>
      </c>
      <c r="AR86" s="56">
        <f t="shared" si="117"/>
        <v>0.78124999999999933</v>
      </c>
      <c r="AS86" s="67">
        <f>SUM(C90,C197,C304,C411,C518,C625,C732)/config!$AC$13</f>
        <v>0.2857142857142857</v>
      </c>
      <c r="AT86" s="68">
        <f>SUM(D90:E90,D197:E197,D304:E304,D411:E411,D518:E518,D625:E625,D732:E732)/config!$AC$13</f>
        <v>8.2857142857142865</v>
      </c>
      <c r="AU86" s="68">
        <f>SUM(F90:G90,F197:G197,F304:G304,F411:G411,F518:G518,F625:G625,F732:G732)/config!$AC$13</f>
        <v>0.42857142857142855</v>
      </c>
      <c r="AV86" s="68">
        <f>SUM(H90,H197,H304,H411,H518,H625,H732)/config!$AC$13</f>
        <v>0</v>
      </c>
      <c r="AW86" s="69">
        <f>SUM(I90:L90,I197:L197,I304:L304,I411:L411,I518:L518,I625:L625,I732:L732)/config!$AC$13</f>
        <v>0</v>
      </c>
      <c r="AY86" s="56">
        <f t="shared" si="118"/>
        <v>0.78124999999999933</v>
      </c>
      <c r="AZ86" s="70">
        <f t="shared" si="85"/>
        <v>13</v>
      </c>
      <c r="BA86" s="71">
        <f t="shared" si="86"/>
        <v>8</v>
      </c>
      <c r="BB86" s="71">
        <f t="shared" si="87"/>
        <v>7</v>
      </c>
      <c r="BC86" s="71">
        <f t="shared" si="88"/>
        <v>10</v>
      </c>
      <c r="BD86" s="71">
        <f t="shared" si="89"/>
        <v>3</v>
      </c>
      <c r="BE86" s="71">
        <f t="shared" si="90"/>
        <v>7</v>
      </c>
      <c r="BF86" s="72">
        <f t="shared" si="91"/>
        <v>15</v>
      </c>
      <c r="BG86" s="45"/>
      <c r="BH86" s="56">
        <f t="shared" si="92"/>
        <v>0.78124999999999933</v>
      </c>
      <c r="BI86" s="67">
        <f t="shared" si="93"/>
        <v>42.9</v>
      </c>
      <c r="BJ86" s="68">
        <f t="shared" si="94"/>
        <v>38.700000000000003</v>
      </c>
      <c r="BK86" s="68">
        <f t="shared" si="95"/>
        <v>42.9</v>
      </c>
      <c r="BL86" s="68">
        <f t="shared" si="96"/>
        <v>43.4</v>
      </c>
      <c r="BM86" s="68">
        <f t="shared" si="97"/>
        <v>39.6</v>
      </c>
      <c r="BN86" s="68">
        <f t="shared" si="98"/>
        <v>43.4</v>
      </c>
      <c r="BO86" s="69">
        <f t="shared" si="99"/>
        <v>41.8</v>
      </c>
      <c r="BP86" s="63"/>
      <c r="BQ86" s="64">
        <f t="shared" si="100"/>
        <v>0.78124999999999933</v>
      </c>
      <c r="BR86" s="67">
        <f t="shared" si="101"/>
        <v>50.6</v>
      </c>
      <c r="BS86" s="68" t="str">
        <f t="shared" si="102"/>
        <v/>
      </c>
      <c r="BT86" s="68" t="str">
        <f t="shared" si="103"/>
        <v/>
      </c>
      <c r="BU86" s="68" t="str">
        <f t="shared" si="104"/>
        <v/>
      </c>
      <c r="BV86" s="68" t="str">
        <f t="shared" si="105"/>
        <v/>
      </c>
      <c r="BW86" s="68" t="str">
        <f t="shared" si="106"/>
        <v/>
      </c>
      <c r="BX86" s="69">
        <f t="shared" si="107"/>
        <v>51.4</v>
      </c>
      <c r="BY86" s="65"/>
      <c r="BZ86" s="66">
        <f t="shared" si="119"/>
        <v>41.81428571428571</v>
      </c>
      <c r="CA86" s="414">
        <f t="shared" si="108"/>
        <v>51</v>
      </c>
      <c r="CB86" s="416">
        <f t="shared" si="122"/>
        <v>60</v>
      </c>
      <c r="CC86" s="65"/>
      <c r="CD86" s="67">
        <f t="shared" si="109"/>
        <v>0</v>
      </c>
      <c r="CE86" s="68">
        <f t="shared" si="110"/>
        <v>0</v>
      </c>
      <c r="CF86" s="68">
        <f t="shared" si="111"/>
        <v>0</v>
      </c>
      <c r="CG86" s="68">
        <f t="shared" si="112"/>
        <v>0</v>
      </c>
      <c r="CH86" s="68">
        <f t="shared" si="113"/>
        <v>0</v>
      </c>
      <c r="CI86" s="68">
        <f t="shared" si="114"/>
        <v>0</v>
      </c>
      <c r="CJ86" s="69">
        <f t="shared" si="115"/>
        <v>0</v>
      </c>
      <c r="CM86" s="67">
        <f t="shared" si="120"/>
        <v>557.69999999999993</v>
      </c>
      <c r="CN86" s="68">
        <f t="shared" si="49"/>
        <v>309.60000000000002</v>
      </c>
      <c r="CO86" s="68">
        <f t="shared" si="50"/>
        <v>300.3</v>
      </c>
      <c r="CP86" s="68">
        <f t="shared" si="51"/>
        <v>434</v>
      </c>
      <c r="CQ86" s="68">
        <f t="shared" si="52"/>
        <v>118.80000000000001</v>
      </c>
      <c r="CR86" s="68">
        <f t="shared" si="53"/>
        <v>303.8</v>
      </c>
      <c r="CS86" s="69">
        <f t="shared" si="54"/>
        <v>627</v>
      </c>
      <c r="CU86" s="511">
        <f>SUM(SUMIF($AZ$8:$BF$8, {"NON";"NEUT"}, AZ86:BF86))/config!$AC$16</f>
        <v>10.6</v>
      </c>
      <c r="CV86" s="512">
        <f t="shared" si="121"/>
        <v>0.78124999999999933</v>
      </c>
      <c r="CY86" s="67">
        <f>SUM(C90*$CY$108, C197*$CY$109, C304*$CY$110, C411*$CY$111, C518*$CY$112, C625*$CY$113, C732*$CY$114)/config!$AC$16</f>
        <v>0.4</v>
      </c>
      <c r="CZ86" s="68">
        <f>SUM(SUM(D90:E90)*$CY$108, SUM(D197:E197)*$CY$109, SUM(D304:E304)*$CY$110, SUM(D411:E411)*$CY$111, SUM(D518:E518)*$CY$112, SUM(D625:E625)*$CY$113, SUM(D732:E732)*$CY$114)/config!$AC$16</f>
        <v>9.8000000000000007</v>
      </c>
      <c r="DA86" s="68">
        <f>SUM(SUM(F90:G90)*$CY$108, SUM(F197:G197)*$CY$109, SUM(F304:G304)*$CY$110, SUM(F411:G411)*$CY$111, SUM(F518:G518)*$CY$112, SUM(F625:G625)*$CY$113, SUM(F732:G732)*$CY$114)/config!$AC$16</f>
        <v>0.4</v>
      </c>
      <c r="DB86" s="68">
        <f>SUM(H90*$CY$108, H197*$CY$109, H304*$CY$110, H411*$CY$111, H518*$CY$112, H625*$CY$113, H732*$CY$114)/config!$AC$16</f>
        <v>0</v>
      </c>
      <c r="DC86" s="69">
        <f>SUM(SUM(I90:L90)*$CY$108, SUM(I197:L197)*$CY$109, SUM(I304:L304)*$CY$110, SUM(I411:L411)*$CY$111, SUM(I518:L518)*$CY$112, SUM(I625:L625)*$CY$113, SUM(I732:L732)*$CY$114)/config!$AC$16</f>
        <v>0</v>
      </c>
    </row>
    <row r="87" spans="1:107" ht="15" x14ac:dyDescent="0.25">
      <c r="A87" s="190" t="s">
        <v>69</v>
      </c>
      <c r="B87" s="646">
        <v>16</v>
      </c>
      <c r="C87" s="186">
        <v>1</v>
      </c>
      <c r="D87" s="186">
        <v>15</v>
      </c>
      <c r="E87" s="186">
        <v>0</v>
      </c>
      <c r="F87" s="186">
        <v>0</v>
      </c>
      <c r="G87" s="186">
        <v>0</v>
      </c>
      <c r="H87" s="186">
        <v>0</v>
      </c>
      <c r="I87" s="186">
        <v>0</v>
      </c>
      <c r="J87" s="186">
        <v>0</v>
      </c>
      <c r="K87" s="186">
        <v>0</v>
      </c>
      <c r="L87" s="186">
        <v>0</v>
      </c>
      <c r="M87" s="656" t="s">
        <v>24</v>
      </c>
      <c r="N87" s="669" t="s">
        <v>69</v>
      </c>
      <c r="O87" s="646">
        <v>0</v>
      </c>
      <c r="P87" s="186">
        <v>0</v>
      </c>
      <c r="Q87" s="186">
        <v>0</v>
      </c>
      <c r="R87" s="186">
        <v>0</v>
      </c>
      <c r="S87" s="186">
        <v>0</v>
      </c>
      <c r="T87" s="186">
        <v>1</v>
      </c>
      <c r="U87" s="186">
        <v>2</v>
      </c>
      <c r="V87" s="186">
        <v>4</v>
      </c>
      <c r="W87" s="186">
        <v>7</v>
      </c>
      <c r="X87" s="186">
        <v>1</v>
      </c>
      <c r="Y87" s="186">
        <v>1</v>
      </c>
      <c r="Z87" s="186">
        <v>0</v>
      </c>
      <c r="AA87" s="186">
        <v>0</v>
      </c>
      <c r="AB87" s="186">
        <v>0</v>
      </c>
      <c r="AC87" s="187">
        <v>45.2</v>
      </c>
      <c r="AD87" s="187">
        <v>53.4</v>
      </c>
      <c r="AE87" s="186">
        <v>1</v>
      </c>
      <c r="AF87" s="187">
        <v>6.25</v>
      </c>
      <c r="AG87" s="186">
        <v>0</v>
      </c>
      <c r="AH87" s="187">
        <v>0</v>
      </c>
      <c r="AI87" s="186">
        <v>0</v>
      </c>
      <c r="AJ87" s="647">
        <v>0</v>
      </c>
      <c r="AP87" s="401">
        <f t="shared" si="116"/>
        <v>3</v>
      </c>
      <c r="AR87" s="56">
        <f t="shared" si="117"/>
        <v>0.79166666666666596</v>
      </c>
      <c r="AS87" s="73">
        <f>SUM(C91,C198,C305,C412,C519,C626,C733)/config!$AC$13</f>
        <v>0.2857142857142857</v>
      </c>
      <c r="AT87" s="74">
        <f>SUM(D91:E91,D198:E198,D305:E305,D412:E412,D519:E519,D626:E626,D733:E733)/config!$AC$13</f>
        <v>12.571428571428571</v>
      </c>
      <c r="AU87" s="74">
        <f>SUM(F91:G91,F198:G198,F305:G305,F412:G412,F519:G519,F626:G626,F733:G733)/config!$AC$13</f>
        <v>0.42857142857142855</v>
      </c>
      <c r="AV87" s="74">
        <f>SUM(H91,H198,H305,H412,H519,H626,H733)/config!$AC$13</f>
        <v>0</v>
      </c>
      <c r="AW87" s="75">
        <f>SUM(I91:L91,I198:L198,I305:L305,I412:L412,I519:L519,I626:L626,I733:L733)/config!$AC$13</f>
        <v>0</v>
      </c>
      <c r="AY87" s="56">
        <f t="shared" si="118"/>
        <v>0.79166666666666596</v>
      </c>
      <c r="AZ87" s="76">
        <f t="shared" si="85"/>
        <v>15</v>
      </c>
      <c r="BA87" s="77">
        <f t="shared" si="86"/>
        <v>12</v>
      </c>
      <c r="BB87" s="77">
        <f t="shared" si="87"/>
        <v>23</v>
      </c>
      <c r="BC87" s="77">
        <f t="shared" si="88"/>
        <v>14</v>
      </c>
      <c r="BD87" s="77">
        <f t="shared" si="89"/>
        <v>11</v>
      </c>
      <c r="BE87" s="77">
        <f t="shared" si="90"/>
        <v>7</v>
      </c>
      <c r="BF87" s="78">
        <f t="shared" si="91"/>
        <v>11</v>
      </c>
      <c r="BG87" s="45"/>
      <c r="BH87" s="56">
        <f t="shared" si="92"/>
        <v>0.79166666666666596</v>
      </c>
      <c r="BI87" s="73">
        <f t="shared" si="93"/>
        <v>46.5</v>
      </c>
      <c r="BJ87" s="74">
        <f t="shared" si="94"/>
        <v>42.7</v>
      </c>
      <c r="BK87" s="74">
        <f t="shared" si="95"/>
        <v>44.5</v>
      </c>
      <c r="BL87" s="74">
        <f t="shared" si="96"/>
        <v>49.9</v>
      </c>
      <c r="BM87" s="74">
        <f t="shared" si="97"/>
        <v>41</v>
      </c>
      <c r="BN87" s="74">
        <f t="shared" si="98"/>
        <v>42.7</v>
      </c>
      <c r="BO87" s="75">
        <f t="shared" si="99"/>
        <v>40.4</v>
      </c>
      <c r="BP87" s="63"/>
      <c r="BQ87" s="64">
        <f t="shared" si="100"/>
        <v>0.79166666666666596</v>
      </c>
      <c r="BR87" s="73">
        <f t="shared" si="101"/>
        <v>51.8</v>
      </c>
      <c r="BS87" s="74">
        <f t="shared" si="102"/>
        <v>53.5</v>
      </c>
      <c r="BT87" s="74">
        <f t="shared" si="103"/>
        <v>52.3</v>
      </c>
      <c r="BU87" s="74">
        <f t="shared" si="104"/>
        <v>60.8</v>
      </c>
      <c r="BV87" s="74">
        <f t="shared" si="105"/>
        <v>52.5</v>
      </c>
      <c r="BW87" s="74" t="str">
        <f t="shared" si="106"/>
        <v/>
      </c>
      <c r="BX87" s="75">
        <f t="shared" si="107"/>
        <v>55.4</v>
      </c>
      <c r="BY87" s="65"/>
      <c r="BZ87" s="66">
        <f t="shared" si="119"/>
        <v>43.957142857142856</v>
      </c>
      <c r="CA87" s="414">
        <f t="shared" si="108"/>
        <v>54.383333333333326</v>
      </c>
      <c r="CB87" s="416">
        <f t="shared" si="122"/>
        <v>60</v>
      </c>
      <c r="CC87" s="65"/>
      <c r="CD87" s="73">
        <f t="shared" si="109"/>
        <v>0</v>
      </c>
      <c r="CE87" s="74">
        <f t="shared" si="110"/>
        <v>0</v>
      </c>
      <c r="CF87" s="74">
        <f t="shared" si="111"/>
        <v>1</v>
      </c>
      <c r="CG87" s="74">
        <f t="shared" si="112"/>
        <v>2</v>
      </c>
      <c r="CH87" s="74">
        <f t="shared" si="113"/>
        <v>0</v>
      </c>
      <c r="CI87" s="74">
        <f t="shared" si="114"/>
        <v>0</v>
      </c>
      <c r="CJ87" s="75">
        <f t="shared" si="115"/>
        <v>0</v>
      </c>
      <c r="CM87" s="73">
        <f t="shared" si="120"/>
        <v>697.5</v>
      </c>
      <c r="CN87" s="74">
        <f t="shared" si="49"/>
        <v>512.40000000000009</v>
      </c>
      <c r="CO87" s="74">
        <f t="shared" si="50"/>
        <v>1023.5</v>
      </c>
      <c r="CP87" s="74">
        <f t="shared" si="51"/>
        <v>698.6</v>
      </c>
      <c r="CQ87" s="74">
        <f t="shared" si="52"/>
        <v>451</v>
      </c>
      <c r="CR87" s="74">
        <f t="shared" si="53"/>
        <v>298.90000000000003</v>
      </c>
      <c r="CS87" s="75">
        <f t="shared" si="54"/>
        <v>444.4</v>
      </c>
      <c r="CU87" s="511">
        <f>SUM(SUMIF($AZ$8:$BF$8, {"NON";"NEUT"}, AZ87:BF87))/config!$AC$16</f>
        <v>15</v>
      </c>
      <c r="CV87" s="512">
        <f t="shared" si="121"/>
        <v>0.79166666666666596</v>
      </c>
      <c r="CY87" s="73">
        <f>SUM(C91*$CY$108, C198*$CY$109, C305*$CY$110, C412*$CY$111, C519*$CY$112, C626*$CY$113, C733*$CY$114)/config!$AC$16</f>
        <v>0.4</v>
      </c>
      <c r="CZ87" s="74">
        <f>SUM(SUM(D91:E91)*$CY$108, SUM(D198:E198)*$CY$109, SUM(D305:E305)*$CY$110, SUM(D412:E412)*$CY$111, SUM(D519:E519)*$CY$112, SUM(D626:E626)*$CY$113, SUM(D733:E733)*$CY$114)/config!$AC$16</f>
        <v>14</v>
      </c>
      <c r="DA87" s="74">
        <f>SUM(SUM(F91:G91)*$CY$108, SUM(F198:G198)*$CY$109, SUM(F305:G305)*$CY$110, SUM(F412:G412)*$CY$111, SUM(F519:G519)*$CY$112, SUM(F626:G626)*$CY$113, SUM(F733:G733)*$CY$114)/config!$AC$16</f>
        <v>0.6</v>
      </c>
      <c r="DB87" s="74">
        <f>SUM(H91*$CY$108, H198*$CY$109, H305*$CY$110, H412*$CY$111, H519*$CY$112, H626*$CY$113, H733*$CY$114)/config!$AC$16</f>
        <v>0</v>
      </c>
      <c r="DC87" s="75">
        <f>SUM(SUM(I91:L91)*$CY$108, SUM(I198:L198)*$CY$109, SUM(I305:L305)*$CY$110, SUM(I412:L412)*$CY$111, SUM(I519:L519)*$CY$112, SUM(I626:L626)*$CY$113, SUM(I733:L733)*$CY$114)/config!$AC$16</f>
        <v>0</v>
      </c>
    </row>
    <row r="88" spans="1:107" ht="15" x14ac:dyDescent="0.25">
      <c r="A88" s="190" t="s">
        <v>115</v>
      </c>
      <c r="B88" s="642">
        <v>8</v>
      </c>
      <c r="C88" s="184">
        <v>0</v>
      </c>
      <c r="D88" s="184">
        <v>8</v>
      </c>
      <c r="E88" s="184">
        <v>0</v>
      </c>
      <c r="F88" s="184">
        <v>0</v>
      </c>
      <c r="G88" s="184">
        <v>0</v>
      </c>
      <c r="H88" s="184">
        <v>0</v>
      </c>
      <c r="I88" s="184">
        <v>0</v>
      </c>
      <c r="J88" s="184">
        <v>0</v>
      </c>
      <c r="K88" s="184">
        <v>0</v>
      </c>
      <c r="L88" s="184">
        <v>0</v>
      </c>
      <c r="M88" s="654" t="s">
        <v>24</v>
      </c>
      <c r="N88" s="669" t="s">
        <v>115</v>
      </c>
      <c r="O88" s="642">
        <v>0</v>
      </c>
      <c r="P88" s="184">
        <v>0</v>
      </c>
      <c r="Q88" s="184">
        <v>0</v>
      </c>
      <c r="R88" s="184">
        <v>0</v>
      </c>
      <c r="S88" s="184">
        <v>0</v>
      </c>
      <c r="T88" s="184">
        <v>0</v>
      </c>
      <c r="U88" s="184">
        <v>2</v>
      </c>
      <c r="V88" s="184">
        <v>4</v>
      </c>
      <c r="W88" s="184">
        <v>0</v>
      </c>
      <c r="X88" s="184">
        <v>2</v>
      </c>
      <c r="Y88" s="184">
        <v>0</v>
      </c>
      <c r="Z88" s="184">
        <v>0</v>
      </c>
      <c r="AA88" s="184">
        <v>0</v>
      </c>
      <c r="AB88" s="184">
        <v>0</v>
      </c>
      <c r="AC88" s="185">
        <v>44.4</v>
      </c>
      <c r="AD88" s="185" t="s">
        <v>24</v>
      </c>
      <c r="AE88" s="184">
        <v>0</v>
      </c>
      <c r="AF88" s="185">
        <v>0</v>
      </c>
      <c r="AG88" s="184">
        <v>0</v>
      </c>
      <c r="AH88" s="185">
        <v>0</v>
      </c>
      <c r="AI88" s="184">
        <v>0</v>
      </c>
      <c r="AJ88" s="643">
        <v>0</v>
      </c>
      <c r="AP88" s="401">
        <f t="shared" si="116"/>
        <v>2</v>
      </c>
      <c r="AR88" s="56">
        <f t="shared" si="117"/>
        <v>0.80208333333333259</v>
      </c>
      <c r="AS88" s="67">
        <f>SUM(C92,C199,C306,C413,C520,C627,C734)/config!$AC$13</f>
        <v>0.14285714285714285</v>
      </c>
      <c r="AT88" s="68">
        <f>SUM(D92:E92,D199:E199,D306:E306,D413:E413,D520:E520,D627:E627,D734:E734)/config!$AC$13</f>
        <v>9.5714285714285712</v>
      </c>
      <c r="AU88" s="68">
        <f>SUM(F92:G92,F199:G199,F306:G306,F413:G413,F520:G520,F627:G627,F734:G734)/config!$AC$13</f>
        <v>0.2857142857142857</v>
      </c>
      <c r="AV88" s="68">
        <f>SUM(H92,H199,H306,H413,H520,H627,H734)/config!$AC$13</f>
        <v>0</v>
      </c>
      <c r="AW88" s="69">
        <f>SUM(I92:L92,I199:L199,I306:L306,I413:L413,I520:L520,I627:L627,I734:L734)/config!$AC$13</f>
        <v>0</v>
      </c>
      <c r="AY88" s="56">
        <f t="shared" si="118"/>
        <v>0.80208333333333259</v>
      </c>
      <c r="AZ88" s="70">
        <f t="shared" si="85"/>
        <v>9</v>
      </c>
      <c r="BA88" s="71">
        <f t="shared" si="86"/>
        <v>14</v>
      </c>
      <c r="BB88" s="71">
        <f t="shared" si="87"/>
        <v>13</v>
      </c>
      <c r="BC88" s="71">
        <f t="shared" si="88"/>
        <v>5</v>
      </c>
      <c r="BD88" s="71">
        <f t="shared" si="89"/>
        <v>10</v>
      </c>
      <c r="BE88" s="71">
        <f t="shared" si="90"/>
        <v>9</v>
      </c>
      <c r="BF88" s="72">
        <f t="shared" si="91"/>
        <v>10</v>
      </c>
      <c r="BG88" s="45"/>
      <c r="BH88" s="56">
        <f t="shared" si="92"/>
        <v>0.80208333333333259</v>
      </c>
      <c r="BI88" s="67">
        <f t="shared" si="93"/>
        <v>42.1</v>
      </c>
      <c r="BJ88" s="68">
        <f t="shared" si="94"/>
        <v>46.7</v>
      </c>
      <c r="BK88" s="68">
        <f t="shared" si="95"/>
        <v>44.2</v>
      </c>
      <c r="BL88" s="68">
        <f t="shared" si="96"/>
        <v>44</v>
      </c>
      <c r="BM88" s="68">
        <f t="shared" si="97"/>
        <v>38.9</v>
      </c>
      <c r="BN88" s="68">
        <f t="shared" si="98"/>
        <v>45.5</v>
      </c>
      <c r="BO88" s="69">
        <f t="shared" si="99"/>
        <v>36</v>
      </c>
      <c r="BP88" s="63"/>
      <c r="BQ88" s="64">
        <f t="shared" si="100"/>
        <v>0.80208333333333259</v>
      </c>
      <c r="BR88" s="67" t="str">
        <f t="shared" si="101"/>
        <v/>
      </c>
      <c r="BS88" s="68">
        <f t="shared" si="102"/>
        <v>53.6</v>
      </c>
      <c r="BT88" s="68">
        <f t="shared" si="103"/>
        <v>52.9</v>
      </c>
      <c r="BU88" s="68" t="str">
        <f t="shared" si="104"/>
        <v/>
      </c>
      <c r="BV88" s="68" t="str">
        <f t="shared" si="105"/>
        <v/>
      </c>
      <c r="BW88" s="68" t="str">
        <f t="shared" si="106"/>
        <v/>
      </c>
      <c r="BX88" s="69" t="str">
        <f t="shared" si="107"/>
        <v/>
      </c>
      <c r="BY88" s="65"/>
      <c r="BZ88" s="66">
        <f t="shared" si="119"/>
        <v>42.48571428571428</v>
      </c>
      <c r="CA88" s="414">
        <f t="shared" si="108"/>
        <v>53.25</v>
      </c>
      <c r="CB88" s="416">
        <f t="shared" si="122"/>
        <v>60</v>
      </c>
      <c r="CC88" s="65"/>
      <c r="CD88" s="67">
        <f t="shared" si="109"/>
        <v>0</v>
      </c>
      <c r="CE88" s="68">
        <f t="shared" si="110"/>
        <v>0</v>
      </c>
      <c r="CF88" s="68">
        <f t="shared" si="111"/>
        <v>0</v>
      </c>
      <c r="CG88" s="68">
        <f t="shared" si="112"/>
        <v>0</v>
      </c>
      <c r="CH88" s="68">
        <f t="shared" si="113"/>
        <v>0</v>
      </c>
      <c r="CI88" s="68">
        <f t="shared" si="114"/>
        <v>1</v>
      </c>
      <c r="CJ88" s="69">
        <f t="shared" si="115"/>
        <v>0</v>
      </c>
      <c r="CM88" s="67">
        <f t="shared" si="120"/>
        <v>378.90000000000003</v>
      </c>
      <c r="CN88" s="68">
        <f t="shared" si="49"/>
        <v>653.80000000000007</v>
      </c>
      <c r="CO88" s="68">
        <f t="shared" si="50"/>
        <v>574.6</v>
      </c>
      <c r="CP88" s="68">
        <f t="shared" si="51"/>
        <v>220</v>
      </c>
      <c r="CQ88" s="68">
        <f t="shared" si="52"/>
        <v>389</v>
      </c>
      <c r="CR88" s="68">
        <f t="shared" si="53"/>
        <v>409.5</v>
      </c>
      <c r="CS88" s="69">
        <f t="shared" si="54"/>
        <v>360</v>
      </c>
      <c r="CU88" s="511">
        <f>SUM(SUMIF($AZ$8:$BF$8, {"NON";"NEUT"}, AZ88:BF88))/config!$AC$16</f>
        <v>10.199999999999999</v>
      </c>
      <c r="CV88" s="512">
        <f t="shared" si="121"/>
        <v>0.80208333333333259</v>
      </c>
      <c r="CY88" s="67">
        <f>SUM(C92*$CY$108, C199*$CY$109, C306*$CY$110, C413*$CY$111, C520*$CY$112, C627*$CY$113, C734*$CY$114)/config!$AC$16</f>
        <v>0.2</v>
      </c>
      <c r="CZ88" s="68">
        <f>SUM(SUM(D92:E92)*$CY$108, SUM(D199:E199)*$CY$109, SUM(D306:E306)*$CY$110, SUM(D413:E413)*$CY$111, SUM(D520:E520)*$CY$112, SUM(D627:E627)*$CY$113, SUM(D734:E734)*$CY$114)/config!$AC$16</f>
        <v>9.8000000000000007</v>
      </c>
      <c r="DA88" s="68">
        <f>SUM(SUM(F92:G92)*$CY$108, SUM(F199:G199)*$CY$109, SUM(F306:G306)*$CY$110, SUM(F413:G413)*$CY$111, SUM(F520:G520)*$CY$112, SUM(F627:G627)*$CY$113, SUM(F734:G734)*$CY$114)/config!$AC$16</f>
        <v>0.2</v>
      </c>
      <c r="DB88" s="68">
        <f>SUM(H92*$CY$108, H199*$CY$109, H306*$CY$110, H413*$CY$111, H520*$CY$112, H627*$CY$113, H734*$CY$114)/config!$AC$16</f>
        <v>0</v>
      </c>
      <c r="DC88" s="69">
        <f>SUM(SUM(I92:L92)*$CY$108, SUM(I199:L199)*$CY$109, SUM(I306:L306)*$CY$110, SUM(I413:L413)*$CY$111, SUM(I520:L520)*$CY$112, SUM(I627:L627)*$CY$113, SUM(I734:L734)*$CY$114)/config!$AC$16</f>
        <v>0</v>
      </c>
    </row>
    <row r="89" spans="1:107" ht="15" x14ac:dyDescent="0.25">
      <c r="A89" s="190" t="s">
        <v>116</v>
      </c>
      <c r="B89" s="642">
        <v>19</v>
      </c>
      <c r="C89" s="184">
        <v>0</v>
      </c>
      <c r="D89" s="184">
        <v>19</v>
      </c>
      <c r="E89" s="184">
        <v>0</v>
      </c>
      <c r="F89" s="184">
        <v>0</v>
      </c>
      <c r="G89" s="184">
        <v>0</v>
      </c>
      <c r="H89" s="184">
        <v>0</v>
      </c>
      <c r="I89" s="184">
        <v>0</v>
      </c>
      <c r="J89" s="184">
        <v>0</v>
      </c>
      <c r="K89" s="184">
        <v>0</v>
      </c>
      <c r="L89" s="184">
        <v>0</v>
      </c>
      <c r="M89" s="654" t="s">
        <v>24</v>
      </c>
      <c r="N89" s="669" t="s">
        <v>116</v>
      </c>
      <c r="O89" s="642">
        <v>0</v>
      </c>
      <c r="P89" s="184">
        <v>0</v>
      </c>
      <c r="Q89" s="184">
        <v>0</v>
      </c>
      <c r="R89" s="184">
        <v>0</v>
      </c>
      <c r="S89" s="184">
        <v>0</v>
      </c>
      <c r="T89" s="184">
        <v>0</v>
      </c>
      <c r="U89" s="184">
        <v>0</v>
      </c>
      <c r="V89" s="184">
        <v>6</v>
      </c>
      <c r="W89" s="184">
        <v>6</v>
      </c>
      <c r="X89" s="184">
        <v>6</v>
      </c>
      <c r="Y89" s="184">
        <v>1</v>
      </c>
      <c r="Z89" s="184">
        <v>0</v>
      </c>
      <c r="AA89" s="184">
        <v>0</v>
      </c>
      <c r="AB89" s="184">
        <v>0</v>
      </c>
      <c r="AC89" s="185">
        <v>48.6</v>
      </c>
      <c r="AD89" s="185">
        <v>55.5</v>
      </c>
      <c r="AE89" s="184">
        <v>1</v>
      </c>
      <c r="AF89" s="185">
        <v>5.2631578947368416</v>
      </c>
      <c r="AG89" s="184">
        <v>0</v>
      </c>
      <c r="AH89" s="185">
        <v>0</v>
      </c>
      <c r="AI89" s="184">
        <v>0</v>
      </c>
      <c r="AJ89" s="643">
        <v>0</v>
      </c>
      <c r="AP89" s="401">
        <f t="shared" si="116"/>
        <v>6</v>
      </c>
      <c r="AR89" s="56">
        <f t="shared" si="117"/>
        <v>0.81249999999999922</v>
      </c>
      <c r="AS89" s="67">
        <f>SUM(C93,C200,C307,C414,C521,C628,C735)/config!$AC$13</f>
        <v>0</v>
      </c>
      <c r="AT89" s="68">
        <f>SUM(D93:E93,D200:E200,D307:E307,D414:E414,D521:E521,D628:E628,D735:E735)/config!$AC$13</f>
        <v>9.4285714285714288</v>
      </c>
      <c r="AU89" s="68">
        <f>SUM(F93:G93,F200:G200,F307:G307,F414:G414,F521:G521,F628:G628,F735:G735)/config!$AC$13</f>
        <v>0.8571428571428571</v>
      </c>
      <c r="AV89" s="68">
        <f>SUM(H93,H200,H307,H414,H521,H628,H735)/config!$AC$13</f>
        <v>0.14285714285714285</v>
      </c>
      <c r="AW89" s="69">
        <f>SUM(I93:L93,I200:L200,I307:L307,I414:L414,I521:L521,I628:L628,I735:L735)/config!$AC$13</f>
        <v>0</v>
      </c>
      <c r="AY89" s="56">
        <f t="shared" si="118"/>
        <v>0.81249999999999922</v>
      </c>
      <c r="AZ89" s="70">
        <f t="shared" si="85"/>
        <v>13</v>
      </c>
      <c r="BA89" s="71">
        <f t="shared" si="86"/>
        <v>14</v>
      </c>
      <c r="BB89" s="71">
        <f t="shared" si="87"/>
        <v>15</v>
      </c>
      <c r="BC89" s="71">
        <f t="shared" si="88"/>
        <v>15</v>
      </c>
      <c r="BD89" s="71">
        <f t="shared" si="89"/>
        <v>5</v>
      </c>
      <c r="BE89" s="71">
        <f t="shared" si="90"/>
        <v>5</v>
      </c>
      <c r="BF89" s="72">
        <f t="shared" si="91"/>
        <v>6</v>
      </c>
      <c r="BG89" s="45"/>
      <c r="BH89" s="56">
        <f t="shared" si="92"/>
        <v>0.81249999999999922</v>
      </c>
      <c r="BI89" s="67">
        <f t="shared" si="93"/>
        <v>39.5</v>
      </c>
      <c r="BJ89" s="68">
        <f t="shared" si="94"/>
        <v>46.6</v>
      </c>
      <c r="BK89" s="68">
        <f t="shared" si="95"/>
        <v>46.8</v>
      </c>
      <c r="BL89" s="68">
        <f t="shared" si="96"/>
        <v>42.3</v>
      </c>
      <c r="BM89" s="68">
        <f t="shared" si="97"/>
        <v>40.6</v>
      </c>
      <c r="BN89" s="68">
        <f t="shared" si="98"/>
        <v>44.2</v>
      </c>
      <c r="BO89" s="69">
        <f t="shared" si="99"/>
        <v>36</v>
      </c>
      <c r="BP89" s="63"/>
      <c r="BQ89" s="64">
        <f t="shared" si="100"/>
        <v>0.81249999999999922</v>
      </c>
      <c r="BR89" s="67">
        <f t="shared" si="101"/>
        <v>50.5</v>
      </c>
      <c r="BS89" s="68">
        <f t="shared" si="102"/>
        <v>57.3</v>
      </c>
      <c r="BT89" s="68">
        <f t="shared" si="103"/>
        <v>57.5</v>
      </c>
      <c r="BU89" s="68">
        <f t="shared" si="104"/>
        <v>50.3</v>
      </c>
      <c r="BV89" s="68" t="str">
        <f t="shared" si="105"/>
        <v/>
      </c>
      <c r="BW89" s="68" t="str">
        <f t="shared" si="106"/>
        <v/>
      </c>
      <c r="BX89" s="69" t="str">
        <f t="shared" si="107"/>
        <v/>
      </c>
      <c r="BY89" s="65"/>
      <c r="BZ89" s="66">
        <f t="shared" si="119"/>
        <v>42.285714285714285</v>
      </c>
      <c r="CA89" s="414">
        <f t="shared" si="108"/>
        <v>53.900000000000006</v>
      </c>
      <c r="CB89" s="416">
        <f t="shared" si="122"/>
        <v>60</v>
      </c>
      <c r="CC89" s="65"/>
      <c r="CD89" s="67">
        <f t="shared" si="109"/>
        <v>0</v>
      </c>
      <c r="CE89" s="68">
        <f t="shared" si="110"/>
        <v>1</v>
      </c>
      <c r="CF89" s="68">
        <f t="shared" si="111"/>
        <v>1</v>
      </c>
      <c r="CG89" s="68">
        <f t="shared" si="112"/>
        <v>0</v>
      </c>
      <c r="CH89" s="68">
        <f t="shared" si="113"/>
        <v>0</v>
      </c>
      <c r="CI89" s="68">
        <f t="shared" si="114"/>
        <v>0</v>
      </c>
      <c r="CJ89" s="69">
        <f t="shared" si="115"/>
        <v>0</v>
      </c>
      <c r="CM89" s="67">
        <f t="shared" si="120"/>
        <v>513.5</v>
      </c>
      <c r="CN89" s="68">
        <f t="shared" si="49"/>
        <v>652.4</v>
      </c>
      <c r="CO89" s="68">
        <f t="shared" si="50"/>
        <v>702</v>
      </c>
      <c r="CP89" s="68">
        <f t="shared" si="51"/>
        <v>634.5</v>
      </c>
      <c r="CQ89" s="68">
        <f t="shared" si="52"/>
        <v>203</v>
      </c>
      <c r="CR89" s="68">
        <f t="shared" si="53"/>
        <v>221</v>
      </c>
      <c r="CS89" s="69">
        <f t="shared" si="54"/>
        <v>216</v>
      </c>
      <c r="CU89" s="511">
        <f>SUM(SUMIF($AZ$8:$BF$8, {"NON";"NEUT"}, AZ89:BF89))/config!$AC$16</f>
        <v>12.6</v>
      </c>
      <c r="CV89" s="512">
        <f t="shared" si="121"/>
        <v>0.81249999999999922</v>
      </c>
      <c r="CY89" s="67">
        <f>SUM(C93*$CY$108, C200*$CY$109, C307*$CY$110, C414*$CY$111, C521*$CY$112, C628*$CY$113, C735*$CY$114)/config!$AC$16</f>
        <v>0</v>
      </c>
      <c r="CZ89" s="68">
        <f>SUM(SUM(D93:E93)*$CY$108, SUM(D200:E200)*$CY$109, SUM(D307:E307)*$CY$110, SUM(D414:E414)*$CY$111, SUM(D521:E521)*$CY$112, SUM(D628:E628)*$CY$113, SUM(D735:E735)*$CY$114)/config!$AC$16</f>
        <v>11.4</v>
      </c>
      <c r="DA89" s="68">
        <f>SUM(SUM(F93:G93)*$CY$108, SUM(F200:G200)*$CY$109, SUM(F307:G307)*$CY$110, SUM(F414:G414)*$CY$111, SUM(F521:G521)*$CY$112, SUM(F628:G628)*$CY$113, SUM(F735:G735)*$CY$114)/config!$AC$16</f>
        <v>1</v>
      </c>
      <c r="DB89" s="68">
        <f>SUM(H93*$CY$108, H200*$CY$109, H307*$CY$110, H414*$CY$111, H521*$CY$112, H628*$CY$113, H735*$CY$114)/config!$AC$16</f>
        <v>0.2</v>
      </c>
      <c r="DC89" s="69">
        <f>SUM(SUM(I93:L93)*$CY$108, SUM(I200:L200)*$CY$109, SUM(I307:L307)*$CY$110, SUM(I414:L414)*$CY$111, SUM(I521:L521)*$CY$112, SUM(I628:L628)*$CY$113, SUM(I735:L735)*$CY$114)/config!$AC$16</f>
        <v>0</v>
      </c>
    </row>
    <row r="90" spans="1:107" ht="15.75" thickBot="1" x14ac:dyDescent="0.3">
      <c r="A90" s="190" t="s">
        <v>117</v>
      </c>
      <c r="B90" s="644">
        <v>13</v>
      </c>
      <c r="C90" s="188">
        <v>0</v>
      </c>
      <c r="D90" s="188">
        <v>13</v>
      </c>
      <c r="E90" s="188">
        <v>0</v>
      </c>
      <c r="F90" s="188">
        <v>0</v>
      </c>
      <c r="G90" s="188">
        <v>0</v>
      </c>
      <c r="H90" s="188">
        <v>0</v>
      </c>
      <c r="I90" s="188">
        <v>0</v>
      </c>
      <c r="J90" s="188">
        <v>0</v>
      </c>
      <c r="K90" s="188">
        <v>0</v>
      </c>
      <c r="L90" s="188">
        <v>0</v>
      </c>
      <c r="M90" s="655" t="s">
        <v>24</v>
      </c>
      <c r="N90" s="669" t="s">
        <v>117</v>
      </c>
      <c r="O90" s="644">
        <v>0</v>
      </c>
      <c r="P90" s="188">
        <v>0</v>
      </c>
      <c r="Q90" s="188">
        <v>0</v>
      </c>
      <c r="R90" s="188">
        <v>0</v>
      </c>
      <c r="S90" s="188">
        <v>0</v>
      </c>
      <c r="T90" s="188">
        <v>2</v>
      </c>
      <c r="U90" s="188">
        <v>4</v>
      </c>
      <c r="V90" s="188">
        <v>2</v>
      </c>
      <c r="W90" s="188">
        <v>3</v>
      </c>
      <c r="X90" s="188">
        <v>2</v>
      </c>
      <c r="Y90" s="188">
        <v>0</v>
      </c>
      <c r="Z90" s="188">
        <v>0</v>
      </c>
      <c r="AA90" s="188">
        <v>0</v>
      </c>
      <c r="AB90" s="188">
        <v>0</v>
      </c>
      <c r="AC90" s="189">
        <v>42.9</v>
      </c>
      <c r="AD90" s="189">
        <v>50.6</v>
      </c>
      <c r="AE90" s="188">
        <v>0</v>
      </c>
      <c r="AF90" s="189">
        <v>0</v>
      </c>
      <c r="AG90" s="188">
        <v>0</v>
      </c>
      <c r="AH90" s="189">
        <v>0</v>
      </c>
      <c r="AI90" s="188">
        <v>0</v>
      </c>
      <c r="AJ90" s="645">
        <v>0</v>
      </c>
      <c r="AP90" s="401">
        <f t="shared" si="116"/>
        <v>8</v>
      </c>
      <c r="AR90" s="56">
        <f t="shared" si="117"/>
        <v>0.82291666666666585</v>
      </c>
      <c r="AS90" s="67">
        <f>SUM(C94,C201,C308,C415,C522,C629,C736)/config!$AC$13</f>
        <v>0.14285714285714285</v>
      </c>
      <c r="AT90" s="68">
        <f>SUM(D94:E94,D201:E201,D308:E308,D415:E415,D522:E522,D629:E629,D736:E736)/config!$AC$13</f>
        <v>7.7142857142857144</v>
      </c>
      <c r="AU90" s="68">
        <f>SUM(F94:G94,F201:G201,F308:G308,F415:G415,F522:G522,F629:G629,F736:G736)/config!$AC$13</f>
        <v>1.1428571428571428</v>
      </c>
      <c r="AV90" s="68">
        <f>SUM(H94,H201,H308,H415,H522,H629,H736)/config!$AC$13</f>
        <v>0</v>
      </c>
      <c r="AW90" s="69">
        <f>SUM(I94:L94,I201:L201,I308:L308,I415:L415,I522:L522,I629:L629,I736:L736)/config!$AC$13</f>
        <v>0</v>
      </c>
      <c r="AY90" s="56">
        <f t="shared" si="118"/>
        <v>0.82291666666666585</v>
      </c>
      <c r="AZ90" s="70">
        <f t="shared" si="85"/>
        <v>10</v>
      </c>
      <c r="BA90" s="71">
        <f t="shared" si="86"/>
        <v>8</v>
      </c>
      <c r="BB90" s="71">
        <f t="shared" si="87"/>
        <v>12</v>
      </c>
      <c r="BC90" s="71">
        <f t="shared" si="88"/>
        <v>10</v>
      </c>
      <c r="BD90" s="71">
        <f t="shared" si="89"/>
        <v>9</v>
      </c>
      <c r="BE90" s="71">
        <f t="shared" si="90"/>
        <v>9</v>
      </c>
      <c r="BF90" s="72">
        <f t="shared" si="91"/>
        <v>5</v>
      </c>
      <c r="BG90" s="45"/>
      <c r="BH90" s="56">
        <f t="shared" si="92"/>
        <v>0.82291666666666585</v>
      </c>
      <c r="BI90" s="67">
        <f t="shared" si="93"/>
        <v>51.3</v>
      </c>
      <c r="BJ90" s="68">
        <f t="shared" si="94"/>
        <v>43</v>
      </c>
      <c r="BK90" s="68">
        <f t="shared" si="95"/>
        <v>42.3</v>
      </c>
      <c r="BL90" s="68">
        <f t="shared" si="96"/>
        <v>47</v>
      </c>
      <c r="BM90" s="68">
        <f t="shared" si="97"/>
        <v>45.1</v>
      </c>
      <c r="BN90" s="68">
        <f t="shared" si="98"/>
        <v>40.799999999999997</v>
      </c>
      <c r="BO90" s="69">
        <f t="shared" si="99"/>
        <v>34.299999999999997</v>
      </c>
      <c r="BP90" s="63"/>
      <c r="BQ90" s="64">
        <f t="shared" si="100"/>
        <v>0.82291666666666585</v>
      </c>
      <c r="BR90" s="67" t="str">
        <f t="shared" si="101"/>
        <v/>
      </c>
      <c r="BS90" s="68" t="str">
        <f t="shared" si="102"/>
        <v/>
      </c>
      <c r="BT90" s="68">
        <f t="shared" si="103"/>
        <v>48.7</v>
      </c>
      <c r="BU90" s="68" t="str">
        <f t="shared" si="104"/>
        <v/>
      </c>
      <c r="BV90" s="68" t="str">
        <f t="shared" si="105"/>
        <v/>
      </c>
      <c r="BW90" s="68" t="str">
        <f t="shared" si="106"/>
        <v/>
      </c>
      <c r="BX90" s="69" t="str">
        <f t="shared" si="107"/>
        <v/>
      </c>
      <c r="BY90" s="65"/>
      <c r="BZ90" s="66">
        <f t="shared" si="119"/>
        <v>43.4</v>
      </c>
      <c r="CA90" s="414">
        <f t="shared" si="108"/>
        <v>48.7</v>
      </c>
      <c r="CB90" s="416">
        <f t="shared" si="122"/>
        <v>60</v>
      </c>
      <c r="CC90" s="65"/>
      <c r="CD90" s="67">
        <f t="shared" si="109"/>
        <v>2</v>
      </c>
      <c r="CE90" s="68">
        <f t="shared" si="110"/>
        <v>0</v>
      </c>
      <c r="CF90" s="68">
        <f t="shared" si="111"/>
        <v>0</v>
      </c>
      <c r="CG90" s="68">
        <f t="shared" si="112"/>
        <v>0</v>
      </c>
      <c r="CH90" s="68">
        <f t="shared" si="113"/>
        <v>0</v>
      </c>
      <c r="CI90" s="68">
        <f t="shared" si="114"/>
        <v>0</v>
      </c>
      <c r="CJ90" s="69">
        <f t="shared" si="115"/>
        <v>0</v>
      </c>
      <c r="CM90" s="67">
        <f t="shared" si="120"/>
        <v>513</v>
      </c>
      <c r="CN90" s="68">
        <f t="shared" si="49"/>
        <v>344</v>
      </c>
      <c r="CO90" s="68">
        <f t="shared" si="50"/>
        <v>507.59999999999997</v>
      </c>
      <c r="CP90" s="68">
        <f t="shared" si="51"/>
        <v>470</v>
      </c>
      <c r="CQ90" s="68">
        <f t="shared" si="52"/>
        <v>405.90000000000003</v>
      </c>
      <c r="CR90" s="68">
        <f t="shared" si="53"/>
        <v>367.2</v>
      </c>
      <c r="CS90" s="69">
        <f t="shared" si="54"/>
        <v>171.5</v>
      </c>
      <c r="CU90" s="511">
        <f>SUM(SUMIF($AZ$8:$BF$8, {"NON";"NEUT"}, AZ90:BF90))/config!$AC$16</f>
        <v>9</v>
      </c>
      <c r="CV90" s="512">
        <f t="shared" si="121"/>
        <v>0.82291666666666585</v>
      </c>
      <c r="CY90" s="67">
        <f>SUM(C94*$CY$108, C201*$CY$109, C308*$CY$110, C415*$CY$111, C522*$CY$112, C629*$CY$113, C736*$CY$114)/config!$AC$16</f>
        <v>0</v>
      </c>
      <c r="CZ90" s="68">
        <f>SUM(SUM(D94:E94)*$CY$108, SUM(D201:E201)*$CY$109, SUM(D308:E308)*$CY$110, SUM(D415:E415)*$CY$111, SUM(D522:E522)*$CY$112, SUM(D629:E629)*$CY$113, SUM(D736:E736)*$CY$114)/config!$AC$16</f>
        <v>7.8</v>
      </c>
      <c r="DA90" s="68">
        <f>SUM(SUM(F94:G94)*$CY$108, SUM(F201:G201)*$CY$109, SUM(F308:G308)*$CY$110, SUM(F415:G415)*$CY$111, SUM(F522:G522)*$CY$112, SUM(F629:G629)*$CY$113, SUM(F736:G736)*$CY$114)/config!$AC$16</f>
        <v>1.2</v>
      </c>
      <c r="DB90" s="68">
        <f>SUM(H94*$CY$108, H201*$CY$109, H308*$CY$110, H415*$CY$111, H522*$CY$112, H629*$CY$113, H736*$CY$114)/config!$AC$16</f>
        <v>0</v>
      </c>
      <c r="DC90" s="69">
        <f>SUM(SUM(I94:L94)*$CY$108, SUM(I201:L201)*$CY$109, SUM(I308:L308)*$CY$110, SUM(I415:L415)*$CY$111, SUM(I522:L522)*$CY$112, SUM(I629:L629)*$CY$113, SUM(I736:L736)*$CY$114)/config!$AC$16</f>
        <v>0</v>
      </c>
    </row>
    <row r="91" spans="1:107" ht="15" x14ac:dyDescent="0.25">
      <c r="A91" s="190" t="s">
        <v>71</v>
      </c>
      <c r="B91" s="642">
        <v>15</v>
      </c>
      <c r="C91" s="184">
        <v>0</v>
      </c>
      <c r="D91" s="184">
        <v>12</v>
      </c>
      <c r="E91" s="184">
        <v>0</v>
      </c>
      <c r="F91" s="184">
        <v>3</v>
      </c>
      <c r="G91" s="184">
        <v>0</v>
      </c>
      <c r="H91" s="184">
        <v>0</v>
      </c>
      <c r="I91" s="184">
        <v>0</v>
      </c>
      <c r="J91" s="184">
        <v>0</v>
      </c>
      <c r="K91" s="184">
        <v>0</v>
      </c>
      <c r="L91" s="184">
        <v>0</v>
      </c>
      <c r="M91" s="654" t="s">
        <v>24</v>
      </c>
      <c r="N91" s="669" t="s">
        <v>71</v>
      </c>
      <c r="O91" s="642">
        <v>0</v>
      </c>
      <c r="P91" s="184">
        <v>0</v>
      </c>
      <c r="Q91" s="184">
        <v>0</v>
      </c>
      <c r="R91" s="184">
        <v>0</v>
      </c>
      <c r="S91" s="184">
        <v>0</v>
      </c>
      <c r="T91" s="184">
        <v>0</v>
      </c>
      <c r="U91" s="184">
        <v>3</v>
      </c>
      <c r="V91" s="184">
        <v>2</v>
      </c>
      <c r="W91" s="184">
        <v>7</v>
      </c>
      <c r="X91" s="184">
        <v>3</v>
      </c>
      <c r="Y91" s="184">
        <v>0</v>
      </c>
      <c r="Z91" s="184">
        <v>0</v>
      </c>
      <c r="AA91" s="184">
        <v>0</v>
      </c>
      <c r="AB91" s="184">
        <v>0</v>
      </c>
      <c r="AC91" s="185">
        <v>46.5</v>
      </c>
      <c r="AD91" s="185">
        <v>51.8</v>
      </c>
      <c r="AE91" s="184">
        <v>0</v>
      </c>
      <c r="AF91" s="185">
        <v>0</v>
      </c>
      <c r="AG91" s="184">
        <v>0</v>
      </c>
      <c r="AH91" s="185">
        <v>0</v>
      </c>
      <c r="AI91" s="184">
        <v>0</v>
      </c>
      <c r="AJ91" s="643">
        <v>0</v>
      </c>
      <c r="AP91" s="401">
        <f t="shared" si="116"/>
        <v>1</v>
      </c>
      <c r="AR91" s="56">
        <f t="shared" si="117"/>
        <v>0.83333333333333248</v>
      </c>
      <c r="AS91" s="67">
        <f>SUM(C95,C202,C309,C416,C523,C630,C737)/config!$AC$13</f>
        <v>0.14285714285714285</v>
      </c>
      <c r="AT91" s="68">
        <f>SUM(D95:E95,D202:E202,D309:E309,D416:E416,D523:E523,D630:E630,D737:E737)/config!$AC$13</f>
        <v>6.7142857142857144</v>
      </c>
      <c r="AU91" s="68">
        <f>SUM(F95:G95,F202:G202,F309:G309,F416:G416,F523:G523,F630:G630,F737:G737)/config!$AC$13</f>
        <v>0.14285714285714285</v>
      </c>
      <c r="AV91" s="68">
        <f>SUM(H95,H202,H309,H416,H523,H630,H737)/config!$AC$13</f>
        <v>0</v>
      </c>
      <c r="AW91" s="69">
        <f>SUM(I95:L95,I202:L202,I309:L309,I416:L416,I523:L523,I630:L630,I737:L737)/config!$AC$13</f>
        <v>0</v>
      </c>
      <c r="AY91" s="56">
        <f t="shared" si="118"/>
        <v>0.83333333333333248</v>
      </c>
      <c r="AZ91" s="70">
        <f t="shared" si="85"/>
        <v>10</v>
      </c>
      <c r="BA91" s="71">
        <f t="shared" si="86"/>
        <v>8</v>
      </c>
      <c r="BB91" s="71">
        <f t="shared" si="87"/>
        <v>7</v>
      </c>
      <c r="BC91" s="71">
        <f t="shared" si="88"/>
        <v>11</v>
      </c>
      <c r="BD91" s="71">
        <f t="shared" si="89"/>
        <v>4</v>
      </c>
      <c r="BE91" s="71">
        <f t="shared" si="90"/>
        <v>6</v>
      </c>
      <c r="BF91" s="72">
        <f t="shared" si="91"/>
        <v>3</v>
      </c>
      <c r="BG91" s="45"/>
      <c r="BH91" s="56">
        <f t="shared" si="92"/>
        <v>0.83333333333333248</v>
      </c>
      <c r="BI91" s="67">
        <f t="shared" si="93"/>
        <v>43.4</v>
      </c>
      <c r="BJ91" s="68">
        <f t="shared" si="94"/>
        <v>39.4</v>
      </c>
      <c r="BK91" s="68">
        <f t="shared" si="95"/>
        <v>46.4</v>
      </c>
      <c r="BL91" s="68">
        <f t="shared" si="96"/>
        <v>44.2</v>
      </c>
      <c r="BM91" s="68">
        <f t="shared" si="97"/>
        <v>38.200000000000003</v>
      </c>
      <c r="BN91" s="68">
        <f t="shared" si="98"/>
        <v>41.7</v>
      </c>
      <c r="BO91" s="69">
        <f t="shared" si="99"/>
        <v>33.4</v>
      </c>
      <c r="BP91" s="63"/>
      <c r="BQ91" s="64">
        <f t="shared" si="100"/>
        <v>0.83333333333333248</v>
      </c>
      <c r="BR91" s="67" t="str">
        <f t="shared" si="101"/>
        <v/>
      </c>
      <c r="BS91" s="68" t="str">
        <f t="shared" si="102"/>
        <v/>
      </c>
      <c r="BT91" s="68" t="str">
        <f t="shared" si="103"/>
        <v/>
      </c>
      <c r="BU91" s="68">
        <f t="shared" si="104"/>
        <v>59.3</v>
      </c>
      <c r="BV91" s="68" t="str">
        <f t="shared" si="105"/>
        <v/>
      </c>
      <c r="BW91" s="68" t="str">
        <f t="shared" si="106"/>
        <v/>
      </c>
      <c r="BX91" s="69" t="str">
        <f t="shared" si="107"/>
        <v/>
      </c>
      <c r="BY91" s="65"/>
      <c r="BZ91" s="66">
        <f t="shared" si="119"/>
        <v>40.957142857142848</v>
      </c>
      <c r="CA91" s="414">
        <f t="shared" si="108"/>
        <v>59.3</v>
      </c>
      <c r="CB91" s="416">
        <f t="shared" si="122"/>
        <v>60</v>
      </c>
      <c r="CC91" s="65"/>
      <c r="CD91" s="67">
        <f t="shared" si="109"/>
        <v>2</v>
      </c>
      <c r="CE91" s="68">
        <f t="shared" si="110"/>
        <v>1</v>
      </c>
      <c r="CF91" s="68">
        <f t="shared" si="111"/>
        <v>1</v>
      </c>
      <c r="CG91" s="68">
        <f t="shared" si="112"/>
        <v>0</v>
      </c>
      <c r="CH91" s="68">
        <f t="shared" si="113"/>
        <v>0</v>
      </c>
      <c r="CI91" s="68">
        <f t="shared" si="114"/>
        <v>0</v>
      </c>
      <c r="CJ91" s="69">
        <f t="shared" si="115"/>
        <v>0</v>
      </c>
      <c r="CM91" s="67">
        <f t="shared" si="120"/>
        <v>434</v>
      </c>
      <c r="CN91" s="68">
        <f t="shared" ref="CN91:CN106" si="123">IFERROR(BA91*BJ91,"")</f>
        <v>315.2</v>
      </c>
      <c r="CO91" s="68">
        <f t="shared" ref="CO91:CO106" si="124">IFERROR(BB91*BK91,"")</f>
        <v>324.8</v>
      </c>
      <c r="CP91" s="68">
        <f t="shared" ref="CP91:CP106" si="125">IFERROR(BC91*BL91,"")</f>
        <v>486.20000000000005</v>
      </c>
      <c r="CQ91" s="68">
        <f t="shared" ref="CQ91:CQ106" si="126">IFERROR(BD91*BM91,"")</f>
        <v>152.80000000000001</v>
      </c>
      <c r="CR91" s="68">
        <f t="shared" ref="CR91:CR106" si="127">IFERROR(BE91*BN91,"")</f>
        <v>250.20000000000002</v>
      </c>
      <c r="CS91" s="69">
        <f t="shared" ref="CS91:CS106" si="128">IFERROR(BF91*BO91,"")</f>
        <v>100.19999999999999</v>
      </c>
      <c r="CU91" s="511">
        <f>SUM(SUMIF($AZ$8:$BF$8, {"NON";"NEUT"}, AZ91:BF91))/config!$AC$16</f>
        <v>7.8</v>
      </c>
      <c r="CV91" s="512">
        <f t="shared" si="121"/>
        <v>0.83333333333333248</v>
      </c>
      <c r="CY91" s="67">
        <f>SUM(C95*$CY$108, C202*$CY$109, C309*$CY$110, C416*$CY$111, C523*$CY$112, C630*$CY$113, C737*$CY$114)/config!$AC$16</f>
        <v>0.2</v>
      </c>
      <c r="CZ91" s="68">
        <f>SUM(SUM(D95:E95)*$CY$108, SUM(D202:E202)*$CY$109, SUM(D309:E309)*$CY$110, SUM(D416:E416)*$CY$111, SUM(D523:E523)*$CY$112, SUM(D630:E630)*$CY$113, SUM(D737:E737)*$CY$114)/config!$AC$16</f>
        <v>7.4</v>
      </c>
      <c r="DA91" s="68">
        <f>SUM(SUM(F95:G95)*$CY$108, SUM(F202:G202)*$CY$109, SUM(F309:G309)*$CY$110, SUM(F416:G416)*$CY$111, SUM(F523:G523)*$CY$112, SUM(F630:G630)*$CY$113, SUM(F737:G737)*$CY$114)/config!$AC$16</f>
        <v>0.2</v>
      </c>
      <c r="DB91" s="68">
        <f>SUM(H95*$CY$108, H202*$CY$109, H309*$CY$110, H416*$CY$111, H523*$CY$112, H630*$CY$113, H737*$CY$114)/config!$AC$16</f>
        <v>0</v>
      </c>
      <c r="DC91" s="69">
        <f>SUM(SUM(I95:L95)*$CY$108, SUM(I202:L202)*$CY$109, SUM(I309:L309)*$CY$110, SUM(I416:L416)*$CY$111, SUM(I523:L523)*$CY$112, SUM(I630:L630)*$CY$113, SUM(I737:L737)*$CY$114)/config!$AC$16</f>
        <v>0</v>
      </c>
    </row>
    <row r="92" spans="1:107" ht="15" x14ac:dyDescent="0.25">
      <c r="A92" s="190" t="s">
        <v>118</v>
      </c>
      <c r="B92" s="642">
        <v>9</v>
      </c>
      <c r="C92" s="184">
        <v>0</v>
      </c>
      <c r="D92" s="184">
        <v>9</v>
      </c>
      <c r="E92" s="184">
        <v>0</v>
      </c>
      <c r="F92" s="184">
        <v>0</v>
      </c>
      <c r="G92" s="184">
        <v>0</v>
      </c>
      <c r="H92" s="184">
        <v>0</v>
      </c>
      <c r="I92" s="184">
        <v>0</v>
      </c>
      <c r="J92" s="184">
        <v>0</v>
      </c>
      <c r="K92" s="184">
        <v>0</v>
      </c>
      <c r="L92" s="184">
        <v>0</v>
      </c>
      <c r="M92" s="654" t="s">
        <v>24</v>
      </c>
      <c r="N92" s="669" t="s">
        <v>118</v>
      </c>
      <c r="O92" s="642">
        <v>0</v>
      </c>
      <c r="P92" s="184">
        <v>0</v>
      </c>
      <c r="Q92" s="184">
        <v>0</v>
      </c>
      <c r="R92" s="184">
        <v>0</v>
      </c>
      <c r="S92" s="184">
        <v>0</v>
      </c>
      <c r="T92" s="184">
        <v>1</v>
      </c>
      <c r="U92" s="184">
        <v>2</v>
      </c>
      <c r="V92" s="184">
        <v>3</v>
      </c>
      <c r="W92" s="184">
        <v>2</v>
      </c>
      <c r="X92" s="184">
        <v>1</v>
      </c>
      <c r="Y92" s="184">
        <v>0</v>
      </c>
      <c r="Z92" s="184">
        <v>0</v>
      </c>
      <c r="AA92" s="184">
        <v>0</v>
      </c>
      <c r="AB92" s="184">
        <v>0</v>
      </c>
      <c r="AC92" s="185">
        <v>42.1</v>
      </c>
      <c r="AD92" s="185" t="s">
        <v>24</v>
      </c>
      <c r="AE92" s="184">
        <v>0</v>
      </c>
      <c r="AF92" s="185">
        <v>0</v>
      </c>
      <c r="AG92" s="184">
        <v>0</v>
      </c>
      <c r="AH92" s="185">
        <v>0</v>
      </c>
      <c r="AI92" s="184">
        <v>0</v>
      </c>
      <c r="AJ92" s="643">
        <v>0</v>
      </c>
      <c r="AP92" s="401">
        <f t="shared" si="116"/>
        <v>5</v>
      </c>
      <c r="AR92" s="56">
        <f t="shared" si="117"/>
        <v>0.84374999999999911</v>
      </c>
      <c r="AS92" s="67">
        <f>SUM(C96,C203,C310,C417,C524,C631,C738)/config!$AC$13</f>
        <v>0</v>
      </c>
      <c r="AT92" s="68">
        <f>SUM(D96:E96,D203:E203,D310:E310,D417:E417,D524:E524,D631:E631,D738:E738)/config!$AC$13</f>
        <v>6.2857142857142856</v>
      </c>
      <c r="AU92" s="68">
        <f>SUM(F96:G96,F203:G203,F310:G310,F417:G417,F524:G524,F631:G631,F738:G738)/config!$AC$13</f>
        <v>0.7142857142857143</v>
      </c>
      <c r="AV92" s="68">
        <f>SUM(H96,H203,H310,H417,H524,H631,H738)/config!$AC$13</f>
        <v>0</v>
      </c>
      <c r="AW92" s="69">
        <f>SUM(I96:L96,I203:L203,I310:L310,I417:L417,I524:L524,I631:L631,I738:L738)/config!$AC$13</f>
        <v>0</v>
      </c>
      <c r="AY92" s="56">
        <f t="shared" si="118"/>
        <v>0.84374999999999911</v>
      </c>
      <c r="AZ92" s="70">
        <f t="shared" si="85"/>
        <v>3</v>
      </c>
      <c r="BA92" s="71">
        <f t="shared" si="86"/>
        <v>12</v>
      </c>
      <c r="BB92" s="71">
        <f t="shared" si="87"/>
        <v>13</v>
      </c>
      <c r="BC92" s="71">
        <f t="shared" si="88"/>
        <v>6</v>
      </c>
      <c r="BD92" s="71">
        <f t="shared" si="89"/>
        <v>7</v>
      </c>
      <c r="BE92" s="71">
        <f t="shared" si="90"/>
        <v>4</v>
      </c>
      <c r="BF92" s="72">
        <f t="shared" si="91"/>
        <v>4</v>
      </c>
      <c r="BG92" s="45"/>
      <c r="BH92" s="56">
        <f t="shared" si="92"/>
        <v>0.84374999999999911</v>
      </c>
      <c r="BI92" s="67">
        <f t="shared" si="93"/>
        <v>38.799999999999997</v>
      </c>
      <c r="BJ92" s="68">
        <f t="shared" si="94"/>
        <v>42.7</v>
      </c>
      <c r="BK92" s="68">
        <f t="shared" si="95"/>
        <v>48.9</v>
      </c>
      <c r="BL92" s="68">
        <f t="shared" si="96"/>
        <v>44.7</v>
      </c>
      <c r="BM92" s="68">
        <f t="shared" si="97"/>
        <v>43.6</v>
      </c>
      <c r="BN92" s="68">
        <f t="shared" si="98"/>
        <v>42.3</v>
      </c>
      <c r="BO92" s="69">
        <f t="shared" si="99"/>
        <v>40.5</v>
      </c>
      <c r="BP92" s="63"/>
      <c r="BQ92" s="64">
        <f t="shared" si="100"/>
        <v>0.84374999999999911</v>
      </c>
      <c r="BR92" s="67" t="str">
        <f t="shared" si="101"/>
        <v/>
      </c>
      <c r="BS92" s="68">
        <f t="shared" si="102"/>
        <v>49.4</v>
      </c>
      <c r="BT92" s="68">
        <f t="shared" si="103"/>
        <v>56</v>
      </c>
      <c r="BU92" s="68" t="str">
        <f t="shared" si="104"/>
        <v/>
      </c>
      <c r="BV92" s="68" t="str">
        <f t="shared" si="105"/>
        <v/>
      </c>
      <c r="BW92" s="68" t="str">
        <f t="shared" si="106"/>
        <v/>
      </c>
      <c r="BX92" s="69" t="str">
        <f t="shared" si="107"/>
        <v/>
      </c>
      <c r="BY92" s="65"/>
      <c r="BZ92" s="66">
        <f t="shared" si="119"/>
        <v>43.071428571428569</v>
      </c>
      <c r="CA92" s="414">
        <f t="shared" si="108"/>
        <v>52.7</v>
      </c>
      <c r="CB92" s="416">
        <f t="shared" si="122"/>
        <v>60</v>
      </c>
      <c r="CC92" s="65"/>
      <c r="CD92" s="67">
        <f t="shared" si="109"/>
        <v>0</v>
      </c>
      <c r="CE92" s="68">
        <f t="shared" si="110"/>
        <v>0</v>
      </c>
      <c r="CF92" s="68">
        <f t="shared" si="111"/>
        <v>0</v>
      </c>
      <c r="CG92" s="68">
        <f t="shared" si="112"/>
        <v>0</v>
      </c>
      <c r="CH92" s="68">
        <f t="shared" si="113"/>
        <v>0</v>
      </c>
      <c r="CI92" s="68">
        <f t="shared" si="114"/>
        <v>0</v>
      </c>
      <c r="CJ92" s="69">
        <f t="shared" si="115"/>
        <v>0</v>
      </c>
      <c r="CM92" s="67">
        <f t="shared" si="120"/>
        <v>116.39999999999999</v>
      </c>
      <c r="CN92" s="68">
        <f t="shared" si="123"/>
        <v>512.40000000000009</v>
      </c>
      <c r="CO92" s="68">
        <f t="shared" si="124"/>
        <v>635.69999999999993</v>
      </c>
      <c r="CP92" s="68">
        <f t="shared" si="125"/>
        <v>268.20000000000005</v>
      </c>
      <c r="CQ92" s="68">
        <f t="shared" si="126"/>
        <v>305.2</v>
      </c>
      <c r="CR92" s="68">
        <f t="shared" si="127"/>
        <v>169.2</v>
      </c>
      <c r="CS92" s="69">
        <f t="shared" si="128"/>
        <v>162</v>
      </c>
      <c r="CU92" s="511">
        <f>SUM(SUMIF($AZ$8:$BF$8, {"NON";"NEUT"}, AZ92:BF92))/config!$AC$16</f>
        <v>7.6</v>
      </c>
      <c r="CV92" s="512">
        <f t="shared" si="121"/>
        <v>0.84374999999999911</v>
      </c>
      <c r="CY92" s="67">
        <f>SUM(C96*$CY$108, C203*$CY$109, C310*$CY$110, C417*$CY$111, C524*$CY$112, C631*$CY$113, C738*$CY$114)/config!$AC$16</f>
        <v>0</v>
      </c>
      <c r="CZ92" s="68">
        <f>SUM(SUM(D96:E96)*$CY$108, SUM(D203:E203)*$CY$109, SUM(D310:E310)*$CY$110, SUM(D417:E417)*$CY$111, SUM(D524:E524)*$CY$112, SUM(D631:E631)*$CY$113, SUM(D738:E738)*$CY$114)/config!$AC$16</f>
        <v>6.8</v>
      </c>
      <c r="DA92" s="68">
        <f>SUM(SUM(F96:G96)*$CY$108, SUM(F203:G203)*$CY$109, SUM(F310:G310)*$CY$110, SUM(F417:G417)*$CY$111, SUM(F524:G524)*$CY$112, SUM(F631:G631)*$CY$113, SUM(F738:G738)*$CY$114)/config!$AC$16</f>
        <v>0.8</v>
      </c>
      <c r="DB92" s="68">
        <f>SUM(H96*$CY$108, H203*$CY$109, H310*$CY$110, H417*$CY$111, H524*$CY$112, H631*$CY$113, H738*$CY$114)/config!$AC$16</f>
        <v>0</v>
      </c>
      <c r="DC92" s="69">
        <f>SUM(SUM(I96:L96)*$CY$108, SUM(I203:L203)*$CY$109, SUM(I310:L310)*$CY$110, SUM(I417:L417)*$CY$111, SUM(I524:L524)*$CY$112, SUM(I631:L631)*$CY$113, SUM(I738:L738)*$CY$114)/config!$AC$16</f>
        <v>0</v>
      </c>
    </row>
    <row r="93" spans="1:107" ht="15" x14ac:dyDescent="0.25">
      <c r="A93" s="190" t="s">
        <v>119</v>
      </c>
      <c r="B93" s="642">
        <v>13</v>
      </c>
      <c r="C93" s="184">
        <v>0</v>
      </c>
      <c r="D93" s="184">
        <v>11</v>
      </c>
      <c r="E93" s="184">
        <v>0</v>
      </c>
      <c r="F93" s="184">
        <v>1</v>
      </c>
      <c r="G93" s="184">
        <v>0</v>
      </c>
      <c r="H93" s="184">
        <v>1</v>
      </c>
      <c r="I93" s="184">
        <v>0</v>
      </c>
      <c r="J93" s="184">
        <v>0</v>
      </c>
      <c r="K93" s="184">
        <v>0</v>
      </c>
      <c r="L93" s="184">
        <v>0</v>
      </c>
      <c r="M93" s="654" t="s">
        <v>24</v>
      </c>
      <c r="N93" s="669" t="s">
        <v>119</v>
      </c>
      <c r="O93" s="642">
        <v>0</v>
      </c>
      <c r="P93" s="184">
        <v>1</v>
      </c>
      <c r="Q93" s="184">
        <v>0</v>
      </c>
      <c r="R93" s="184">
        <v>0</v>
      </c>
      <c r="S93" s="184">
        <v>0</v>
      </c>
      <c r="T93" s="184">
        <v>1</v>
      </c>
      <c r="U93" s="184">
        <v>4</v>
      </c>
      <c r="V93" s="184">
        <v>4</v>
      </c>
      <c r="W93" s="184">
        <v>1</v>
      </c>
      <c r="X93" s="184">
        <v>2</v>
      </c>
      <c r="Y93" s="184">
        <v>0</v>
      </c>
      <c r="Z93" s="184">
        <v>0</v>
      </c>
      <c r="AA93" s="184">
        <v>0</v>
      </c>
      <c r="AB93" s="184">
        <v>0</v>
      </c>
      <c r="AC93" s="185">
        <v>39.5</v>
      </c>
      <c r="AD93" s="185">
        <v>50.5</v>
      </c>
      <c r="AE93" s="184">
        <v>0</v>
      </c>
      <c r="AF93" s="185">
        <v>0</v>
      </c>
      <c r="AG93" s="184">
        <v>0</v>
      </c>
      <c r="AH93" s="185">
        <v>0</v>
      </c>
      <c r="AI93" s="184">
        <v>0</v>
      </c>
      <c r="AJ93" s="643">
        <v>0</v>
      </c>
      <c r="AP93" s="401">
        <f t="shared" si="116"/>
        <v>2</v>
      </c>
      <c r="AR93" s="56">
        <f t="shared" si="117"/>
        <v>0.85416666666666574</v>
      </c>
      <c r="AS93" s="67">
        <f>SUM(C97,C204,C311,C418,C525,C632,C739)/config!$AC$13</f>
        <v>0</v>
      </c>
      <c r="AT93" s="68">
        <f>SUM(D97:E97,D204:E204,D311:E311,D418:E418,D525:E525,D632:E632,D739:E739)/config!$AC$13</f>
        <v>4.8571428571428568</v>
      </c>
      <c r="AU93" s="68">
        <f>SUM(F97:G97,F204:G204,F311:G311,F418:G418,F525:G525,F632:G632,F739:G739)/config!$AC$13</f>
        <v>0.2857142857142857</v>
      </c>
      <c r="AV93" s="68">
        <f>SUM(H97,H204,H311,H418,H525,H632,H739)/config!$AC$13</f>
        <v>0</v>
      </c>
      <c r="AW93" s="69">
        <f>SUM(I97:L97,I204:L204,I311:L311,I418:L418,I525:L525,I632:L632,I739:L739)/config!$AC$13</f>
        <v>0</v>
      </c>
      <c r="AY93" s="56">
        <f t="shared" si="118"/>
        <v>0.85416666666666574</v>
      </c>
      <c r="AZ93" s="70">
        <f t="shared" si="85"/>
        <v>7</v>
      </c>
      <c r="BA93" s="71">
        <f t="shared" si="86"/>
        <v>6</v>
      </c>
      <c r="BB93" s="71">
        <f t="shared" si="87"/>
        <v>6</v>
      </c>
      <c r="BC93" s="71">
        <f t="shared" si="88"/>
        <v>6</v>
      </c>
      <c r="BD93" s="71">
        <f t="shared" si="89"/>
        <v>4</v>
      </c>
      <c r="BE93" s="71">
        <f t="shared" si="90"/>
        <v>4</v>
      </c>
      <c r="BF93" s="72">
        <f t="shared" si="91"/>
        <v>3</v>
      </c>
      <c r="BG93" s="45"/>
      <c r="BH93" s="56">
        <f t="shared" si="92"/>
        <v>0.85416666666666574</v>
      </c>
      <c r="BI93" s="67">
        <f t="shared" si="93"/>
        <v>44.8</v>
      </c>
      <c r="BJ93" s="68">
        <f t="shared" si="94"/>
        <v>46.4</v>
      </c>
      <c r="BK93" s="68">
        <f t="shared" si="95"/>
        <v>40.200000000000003</v>
      </c>
      <c r="BL93" s="68">
        <f t="shared" si="96"/>
        <v>39.4</v>
      </c>
      <c r="BM93" s="68">
        <f t="shared" si="97"/>
        <v>44</v>
      </c>
      <c r="BN93" s="68">
        <f t="shared" si="98"/>
        <v>42.9</v>
      </c>
      <c r="BO93" s="69">
        <f t="shared" si="99"/>
        <v>57.8</v>
      </c>
      <c r="BP93" s="63"/>
      <c r="BQ93" s="64">
        <f t="shared" si="100"/>
        <v>0.85416666666666574</v>
      </c>
      <c r="BR93" s="67" t="str">
        <f t="shared" si="101"/>
        <v/>
      </c>
      <c r="BS93" s="68" t="str">
        <f t="shared" si="102"/>
        <v/>
      </c>
      <c r="BT93" s="68" t="str">
        <f t="shared" si="103"/>
        <v/>
      </c>
      <c r="BU93" s="68" t="str">
        <f t="shared" si="104"/>
        <v/>
      </c>
      <c r="BV93" s="68" t="str">
        <f t="shared" si="105"/>
        <v/>
      </c>
      <c r="BW93" s="68" t="str">
        <f t="shared" si="106"/>
        <v/>
      </c>
      <c r="BX93" s="69" t="str">
        <f t="shared" si="107"/>
        <v/>
      </c>
      <c r="BY93" s="65"/>
      <c r="BZ93" s="66">
        <f t="shared" si="119"/>
        <v>45.071428571428569</v>
      </c>
      <c r="CA93" s="414" t="e">
        <f t="shared" si="108"/>
        <v>#N/A</v>
      </c>
      <c r="CB93" s="416">
        <f t="shared" si="122"/>
        <v>60</v>
      </c>
      <c r="CC93" s="65"/>
      <c r="CD93" s="67">
        <f t="shared" si="109"/>
        <v>0</v>
      </c>
      <c r="CE93" s="68">
        <f t="shared" si="110"/>
        <v>1</v>
      </c>
      <c r="CF93" s="68">
        <f t="shared" si="111"/>
        <v>0</v>
      </c>
      <c r="CG93" s="68">
        <f t="shared" si="112"/>
        <v>0</v>
      </c>
      <c r="CH93" s="68">
        <f t="shared" si="113"/>
        <v>0</v>
      </c>
      <c r="CI93" s="68">
        <f t="shared" si="114"/>
        <v>0</v>
      </c>
      <c r="CJ93" s="69">
        <f t="shared" si="115"/>
        <v>1</v>
      </c>
      <c r="CM93" s="67">
        <f t="shared" si="120"/>
        <v>313.59999999999997</v>
      </c>
      <c r="CN93" s="68">
        <f t="shared" si="123"/>
        <v>278.39999999999998</v>
      </c>
      <c r="CO93" s="68">
        <f t="shared" si="124"/>
        <v>241.20000000000002</v>
      </c>
      <c r="CP93" s="68">
        <f t="shared" si="125"/>
        <v>236.39999999999998</v>
      </c>
      <c r="CQ93" s="68">
        <f t="shared" si="126"/>
        <v>176</v>
      </c>
      <c r="CR93" s="68">
        <f t="shared" si="127"/>
        <v>171.6</v>
      </c>
      <c r="CS93" s="69">
        <f t="shared" si="128"/>
        <v>173.39999999999998</v>
      </c>
      <c r="CU93" s="511">
        <f>SUM(SUMIF($AZ$8:$BF$8, {"NON";"NEUT"}, AZ93:BF93))/config!$AC$16</f>
        <v>5.6</v>
      </c>
      <c r="CV93" s="512">
        <f t="shared" si="121"/>
        <v>0.85416666666666574</v>
      </c>
      <c r="CY93" s="67">
        <f>SUM(C97*$CY$108, C204*$CY$109, C311*$CY$110, C418*$CY$111, C525*$CY$112, C632*$CY$113, C739*$CY$114)/config!$AC$16</f>
        <v>0</v>
      </c>
      <c r="CZ93" s="68">
        <f>SUM(SUM(D97:E97)*$CY$108, SUM(D204:E204)*$CY$109, SUM(D311:E311)*$CY$110, SUM(D418:E418)*$CY$111, SUM(D525:E525)*$CY$112, SUM(D632:E632)*$CY$113, SUM(D739:E739)*$CY$114)/config!$AC$16</f>
        <v>5.2</v>
      </c>
      <c r="DA93" s="68">
        <f>SUM(SUM(F97:G97)*$CY$108, SUM(F204:G204)*$CY$109, SUM(F311:G311)*$CY$110, SUM(F418:G418)*$CY$111, SUM(F525:G525)*$CY$112, SUM(F632:G632)*$CY$113, SUM(F739:G739)*$CY$114)/config!$AC$16</f>
        <v>0.4</v>
      </c>
      <c r="DB93" s="68">
        <f>SUM(H97*$CY$108, H204*$CY$109, H311*$CY$110, H418*$CY$111, H525*$CY$112, H632*$CY$113, H739*$CY$114)/config!$AC$16</f>
        <v>0</v>
      </c>
      <c r="DC93" s="69">
        <f>SUM(SUM(I97:L97)*$CY$108, SUM(I204:L204)*$CY$109, SUM(I311:L311)*$CY$110, SUM(I418:L418)*$CY$111, SUM(I525:L525)*$CY$112, SUM(I632:L632)*$CY$113, SUM(I739:L739)*$CY$114)/config!$AC$16</f>
        <v>0</v>
      </c>
    </row>
    <row r="94" spans="1:107" ht="15" x14ac:dyDescent="0.25">
      <c r="A94" s="190" t="s">
        <v>120</v>
      </c>
      <c r="B94" s="642">
        <v>10</v>
      </c>
      <c r="C94" s="184">
        <v>0</v>
      </c>
      <c r="D94" s="184">
        <v>9</v>
      </c>
      <c r="E94" s="184">
        <v>0</v>
      </c>
      <c r="F94" s="184">
        <v>1</v>
      </c>
      <c r="G94" s="184">
        <v>0</v>
      </c>
      <c r="H94" s="184">
        <v>0</v>
      </c>
      <c r="I94" s="184">
        <v>0</v>
      </c>
      <c r="J94" s="184">
        <v>0</v>
      </c>
      <c r="K94" s="184">
        <v>0</v>
      </c>
      <c r="L94" s="184">
        <v>0</v>
      </c>
      <c r="M94" s="654" t="s">
        <v>24</v>
      </c>
      <c r="N94" s="669" t="s">
        <v>120</v>
      </c>
      <c r="O94" s="642">
        <v>0</v>
      </c>
      <c r="P94" s="184">
        <v>0</v>
      </c>
      <c r="Q94" s="184">
        <v>0</v>
      </c>
      <c r="R94" s="184">
        <v>0</v>
      </c>
      <c r="S94" s="184">
        <v>0</v>
      </c>
      <c r="T94" s="184">
        <v>0</v>
      </c>
      <c r="U94" s="184">
        <v>1</v>
      </c>
      <c r="V94" s="184">
        <v>1</v>
      </c>
      <c r="W94" s="184">
        <v>3</v>
      </c>
      <c r="X94" s="184">
        <v>3</v>
      </c>
      <c r="Y94" s="184">
        <v>2</v>
      </c>
      <c r="Z94" s="184">
        <v>0</v>
      </c>
      <c r="AA94" s="184">
        <v>0</v>
      </c>
      <c r="AB94" s="184">
        <v>0</v>
      </c>
      <c r="AC94" s="185">
        <v>51.3</v>
      </c>
      <c r="AD94" s="185" t="s">
        <v>24</v>
      </c>
      <c r="AE94" s="184">
        <v>2</v>
      </c>
      <c r="AF94" s="185">
        <v>20</v>
      </c>
      <c r="AG94" s="184">
        <v>0</v>
      </c>
      <c r="AH94" s="185">
        <v>0</v>
      </c>
      <c r="AI94" s="184">
        <v>0</v>
      </c>
      <c r="AJ94" s="643">
        <v>0</v>
      </c>
      <c r="AP94" s="401">
        <f t="shared" si="116"/>
        <v>0</v>
      </c>
      <c r="AR94" s="56">
        <f t="shared" si="117"/>
        <v>0.86458333333333237</v>
      </c>
      <c r="AS94" s="67">
        <f>SUM(C98,C205,C312,C419,C526,C633,C740)/config!$AC$13</f>
        <v>0</v>
      </c>
      <c r="AT94" s="68">
        <f>SUM(D98:E98,D205:E205,D312:E312,D419:E419,D526:E526,D633:E633,D740:E740)/config!$AC$13</f>
        <v>5.4285714285714288</v>
      </c>
      <c r="AU94" s="68">
        <f>SUM(F98:G98,F205:G205,F312:G312,F419:G419,F526:G526,F633:G633,F740:G740)/config!$AC$13</f>
        <v>0</v>
      </c>
      <c r="AV94" s="68">
        <f>SUM(H98,H205,H312,H419,H526,H633,H740)/config!$AC$13</f>
        <v>0</v>
      </c>
      <c r="AW94" s="69">
        <f>SUM(I98:L98,I205:L205,I312:L312,I419:L419,I526:L526,I633:L633,I740:L740)/config!$AC$13</f>
        <v>0</v>
      </c>
      <c r="AY94" s="56">
        <f t="shared" si="118"/>
        <v>0.86458333333333237</v>
      </c>
      <c r="AZ94" s="70">
        <f t="shared" si="85"/>
        <v>2</v>
      </c>
      <c r="BA94" s="71">
        <f t="shared" si="86"/>
        <v>10</v>
      </c>
      <c r="BB94" s="71">
        <f t="shared" si="87"/>
        <v>7</v>
      </c>
      <c r="BC94" s="71">
        <f t="shared" si="88"/>
        <v>6</v>
      </c>
      <c r="BD94" s="71">
        <f t="shared" si="89"/>
        <v>3</v>
      </c>
      <c r="BE94" s="71">
        <f t="shared" si="90"/>
        <v>3</v>
      </c>
      <c r="BF94" s="72">
        <f t="shared" si="91"/>
        <v>7</v>
      </c>
      <c r="BG94" s="45"/>
      <c r="BH94" s="56">
        <f t="shared" si="92"/>
        <v>0.86458333333333237</v>
      </c>
      <c r="BI94" s="67">
        <f t="shared" si="93"/>
        <v>42.7</v>
      </c>
      <c r="BJ94" s="68">
        <f t="shared" si="94"/>
        <v>48.1</v>
      </c>
      <c r="BK94" s="68">
        <f t="shared" si="95"/>
        <v>51.2</v>
      </c>
      <c r="BL94" s="68">
        <f t="shared" si="96"/>
        <v>44.7</v>
      </c>
      <c r="BM94" s="68">
        <f t="shared" si="97"/>
        <v>41</v>
      </c>
      <c r="BN94" s="68">
        <f t="shared" si="98"/>
        <v>48.3</v>
      </c>
      <c r="BO94" s="69">
        <f t="shared" si="99"/>
        <v>40</v>
      </c>
      <c r="BP94" s="63"/>
      <c r="BQ94" s="64">
        <f t="shared" si="100"/>
        <v>0.86458333333333237</v>
      </c>
      <c r="BR94" s="67" t="str">
        <f t="shared" si="101"/>
        <v/>
      </c>
      <c r="BS94" s="68" t="str">
        <f t="shared" si="102"/>
        <v/>
      </c>
      <c r="BT94" s="68" t="str">
        <f t="shared" si="103"/>
        <v/>
      </c>
      <c r="BU94" s="68" t="str">
        <f t="shared" si="104"/>
        <v/>
      </c>
      <c r="BV94" s="68" t="str">
        <f t="shared" si="105"/>
        <v/>
      </c>
      <c r="BW94" s="68" t="str">
        <f t="shared" si="106"/>
        <v/>
      </c>
      <c r="BX94" s="69" t="str">
        <f t="shared" si="107"/>
        <v/>
      </c>
      <c r="BY94" s="65"/>
      <c r="BZ94" s="66">
        <f t="shared" si="119"/>
        <v>45.142857142857146</v>
      </c>
      <c r="CA94" s="414" t="e">
        <f t="shared" si="108"/>
        <v>#N/A</v>
      </c>
      <c r="CB94" s="416">
        <f t="shared" si="122"/>
        <v>60</v>
      </c>
      <c r="CC94" s="65"/>
      <c r="CD94" s="67">
        <f t="shared" si="109"/>
        <v>0</v>
      </c>
      <c r="CE94" s="68">
        <f t="shared" si="110"/>
        <v>1</v>
      </c>
      <c r="CF94" s="68">
        <f t="shared" si="111"/>
        <v>0</v>
      </c>
      <c r="CG94" s="68">
        <f t="shared" si="112"/>
        <v>0</v>
      </c>
      <c r="CH94" s="68">
        <f t="shared" si="113"/>
        <v>0</v>
      </c>
      <c r="CI94" s="68">
        <f t="shared" si="114"/>
        <v>1</v>
      </c>
      <c r="CJ94" s="69">
        <f t="shared" si="115"/>
        <v>0</v>
      </c>
      <c r="CM94" s="67">
        <f t="shared" si="120"/>
        <v>85.4</v>
      </c>
      <c r="CN94" s="68">
        <f t="shared" si="123"/>
        <v>481</v>
      </c>
      <c r="CO94" s="68">
        <f t="shared" si="124"/>
        <v>358.40000000000003</v>
      </c>
      <c r="CP94" s="68">
        <f t="shared" si="125"/>
        <v>268.20000000000005</v>
      </c>
      <c r="CQ94" s="68">
        <f t="shared" si="126"/>
        <v>123</v>
      </c>
      <c r="CR94" s="68">
        <f t="shared" si="127"/>
        <v>144.89999999999998</v>
      </c>
      <c r="CS94" s="69">
        <f t="shared" si="128"/>
        <v>280</v>
      </c>
      <c r="CU94" s="511">
        <f>SUM(SUMIF($AZ$8:$BF$8, {"NON";"NEUT"}, AZ94:BF94))/config!$AC$16</f>
        <v>6.4</v>
      </c>
      <c r="CV94" s="512">
        <f t="shared" si="121"/>
        <v>0.86458333333333237</v>
      </c>
      <c r="CY94" s="67">
        <f>SUM(C98*$CY$108, C205*$CY$109, C312*$CY$110, C419*$CY$111, C526*$CY$112, C633*$CY$113, C740*$CY$114)/config!$AC$16</f>
        <v>0</v>
      </c>
      <c r="CZ94" s="68">
        <f>SUM(SUM(D98:E98)*$CY$108, SUM(D205:E205)*$CY$109, SUM(D312:E312)*$CY$110, SUM(D419:E419)*$CY$111, SUM(D526:E526)*$CY$112, SUM(D633:E633)*$CY$113, SUM(D740:E740)*$CY$114)/config!$AC$16</f>
        <v>6.4</v>
      </c>
      <c r="DA94" s="68">
        <f>SUM(SUM(F98:G98)*$CY$108, SUM(F205:G205)*$CY$109, SUM(F312:G312)*$CY$110, SUM(F419:G419)*$CY$111, SUM(F526:G526)*$CY$112, SUM(F633:G633)*$CY$113, SUM(F740:G740)*$CY$114)/config!$AC$16</f>
        <v>0</v>
      </c>
      <c r="DB94" s="68">
        <f>SUM(H98*$CY$108, H205*$CY$109, H312*$CY$110, H419*$CY$111, H526*$CY$112, H633*$CY$113, H740*$CY$114)/config!$AC$16</f>
        <v>0</v>
      </c>
      <c r="DC94" s="69">
        <f>SUM(SUM(I98:L98)*$CY$108, SUM(I205:L205)*$CY$109, SUM(I312:L312)*$CY$110, SUM(I419:L419)*$CY$111, SUM(I526:L526)*$CY$112, SUM(I633:L633)*$CY$113, SUM(I740:L740)*$CY$114)/config!$AC$16</f>
        <v>0</v>
      </c>
    </row>
    <row r="95" spans="1:107" ht="15" x14ac:dyDescent="0.25">
      <c r="A95" s="190" t="s">
        <v>72</v>
      </c>
      <c r="B95" s="642">
        <v>10</v>
      </c>
      <c r="C95" s="184">
        <v>0</v>
      </c>
      <c r="D95" s="184">
        <v>10</v>
      </c>
      <c r="E95" s="184">
        <v>0</v>
      </c>
      <c r="F95" s="184">
        <v>0</v>
      </c>
      <c r="G95" s="184">
        <v>0</v>
      </c>
      <c r="H95" s="184">
        <v>0</v>
      </c>
      <c r="I95" s="184">
        <v>0</v>
      </c>
      <c r="J95" s="184">
        <v>0</v>
      </c>
      <c r="K95" s="184">
        <v>0</v>
      </c>
      <c r="L95" s="184">
        <v>0</v>
      </c>
      <c r="M95" s="654" t="s">
        <v>24</v>
      </c>
      <c r="N95" s="669" t="s">
        <v>72</v>
      </c>
      <c r="O95" s="642">
        <v>0</v>
      </c>
      <c r="P95" s="184">
        <v>0</v>
      </c>
      <c r="Q95" s="184">
        <v>0</v>
      </c>
      <c r="R95" s="184">
        <v>0</v>
      </c>
      <c r="S95" s="184">
        <v>1</v>
      </c>
      <c r="T95" s="184">
        <v>0</v>
      </c>
      <c r="U95" s="184">
        <v>3</v>
      </c>
      <c r="V95" s="184">
        <v>4</v>
      </c>
      <c r="W95" s="184">
        <v>0</v>
      </c>
      <c r="X95" s="184">
        <v>0</v>
      </c>
      <c r="Y95" s="184">
        <v>2</v>
      </c>
      <c r="Z95" s="184">
        <v>0</v>
      </c>
      <c r="AA95" s="184">
        <v>0</v>
      </c>
      <c r="AB95" s="184">
        <v>0</v>
      </c>
      <c r="AC95" s="185">
        <v>43.4</v>
      </c>
      <c r="AD95" s="185" t="s">
        <v>24</v>
      </c>
      <c r="AE95" s="184">
        <v>2</v>
      </c>
      <c r="AF95" s="185">
        <v>20</v>
      </c>
      <c r="AG95" s="184">
        <v>0</v>
      </c>
      <c r="AH95" s="185">
        <v>0</v>
      </c>
      <c r="AI95" s="184">
        <v>0</v>
      </c>
      <c r="AJ95" s="643">
        <v>0</v>
      </c>
      <c r="AP95" s="401">
        <f t="shared" si="116"/>
        <v>0</v>
      </c>
      <c r="AR95" s="56">
        <f t="shared" si="117"/>
        <v>0.874999999999999</v>
      </c>
      <c r="AS95" s="67">
        <f>SUM(C99,C206,C313,C420,C527,C634,C741)/config!$AC$13</f>
        <v>0.14285714285714285</v>
      </c>
      <c r="AT95" s="68">
        <f>SUM(D99:E99,D206:E206,D313:E313,D420:E420,D527:E527,D634:E634,D741:E741)/config!$AC$13</f>
        <v>5.1428571428571432</v>
      </c>
      <c r="AU95" s="68">
        <f>SUM(F99:G99,F206:G206,F313:G313,F420:G420,F527:G527,F634:G634,F741:G741)/config!$AC$13</f>
        <v>0</v>
      </c>
      <c r="AV95" s="68">
        <f>SUM(H99,H206,H313,H420,H527,H634,H741)/config!$AC$13</f>
        <v>0</v>
      </c>
      <c r="AW95" s="69">
        <f>SUM(I99:L99,I206:L206,I313:L313,I420:L420,I527:L527,I634:L634,I741:L741)/config!$AC$13</f>
        <v>0</v>
      </c>
      <c r="AY95" s="56">
        <f t="shared" si="118"/>
        <v>0.874999999999999</v>
      </c>
      <c r="AZ95" s="70">
        <f t="shared" si="85"/>
        <v>3</v>
      </c>
      <c r="BA95" s="71">
        <f t="shared" si="86"/>
        <v>4</v>
      </c>
      <c r="BB95" s="71">
        <f t="shared" si="87"/>
        <v>4</v>
      </c>
      <c r="BC95" s="71">
        <f t="shared" si="88"/>
        <v>11</v>
      </c>
      <c r="BD95" s="71">
        <f t="shared" si="89"/>
        <v>3</v>
      </c>
      <c r="BE95" s="71">
        <f t="shared" si="90"/>
        <v>6</v>
      </c>
      <c r="BF95" s="72">
        <f t="shared" si="91"/>
        <v>6</v>
      </c>
      <c r="BG95" s="45"/>
      <c r="BH95" s="56">
        <f t="shared" si="92"/>
        <v>0.874999999999999</v>
      </c>
      <c r="BI95" s="67">
        <f t="shared" si="93"/>
        <v>47.4</v>
      </c>
      <c r="BJ95" s="68">
        <f t="shared" si="94"/>
        <v>35.4</v>
      </c>
      <c r="BK95" s="68">
        <f t="shared" si="95"/>
        <v>44</v>
      </c>
      <c r="BL95" s="68">
        <f t="shared" si="96"/>
        <v>43.3</v>
      </c>
      <c r="BM95" s="68">
        <f t="shared" si="97"/>
        <v>49.6</v>
      </c>
      <c r="BN95" s="68">
        <f t="shared" si="98"/>
        <v>49</v>
      </c>
      <c r="BO95" s="69">
        <f t="shared" si="99"/>
        <v>41.9</v>
      </c>
      <c r="BP95" s="63"/>
      <c r="BQ95" s="64">
        <f t="shared" si="100"/>
        <v>0.874999999999999</v>
      </c>
      <c r="BR95" s="67" t="str">
        <f t="shared" si="101"/>
        <v/>
      </c>
      <c r="BS95" s="68" t="str">
        <f t="shared" si="102"/>
        <v/>
      </c>
      <c r="BT95" s="68" t="str">
        <f t="shared" si="103"/>
        <v/>
      </c>
      <c r="BU95" s="68">
        <f t="shared" si="104"/>
        <v>51</v>
      </c>
      <c r="BV95" s="68" t="str">
        <f t="shared" si="105"/>
        <v/>
      </c>
      <c r="BW95" s="68" t="str">
        <f t="shared" si="106"/>
        <v/>
      </c>
      <c r="BX95" s="69" t="str">
        <f t="shared" si="107"/>
        <v/>
      </c>
      <c r="BY95" s="65"/>
      <c r="BZ95" s="66">
        <f t="shared" si="119"/>
        <v>44.371428571428567</v>
      </c>
      <c r="CA95" s="414">
        <f t="shared" si="108"/>
        <v>51</v>
      </c>
      <c r="CB95" s="416">
        <f t="shared" si="122"/>
        <v>60</v>
      </c>
      <c r="CC95" s="65"/>
      <c r="CD95" s="67">
        <f t="shared" si="109"/>
        <v>0</v>
      </c>
      <c r="CE95" s="68">
        <f t="shared" si="110"/>
        <v>0</v>
      </c>
      <c r="CF95" s="68">
        <f t="shared" si="111"/>
        <v>0</v>
      </c>
      <c r="CG95" s="68">
        <f t="shared" si="112"/>
        <v>0</v>
      </c>
      <c r="CH95" s="68">
        <f t="shared" si="113"/>
        <v>1</v>
      </c>
      <c r="CI95" s="68">
        <f t="shared" si="114"/>
        <v>1</v>
      </c>
      <c r="CJ95" s="69">
        <f t="shared" si="115"/>
        <v>0</v>
      </c>
      <c r="CM95" s="67">
        <f t="shared" si="120"/>
        <v>142.19999999999999</v>
      </c>
      <c r="CN95" s="68">
        <f t="shared" si="123"/>
        <v>141.6</v>
      </c>
      <c r="CO95" s="68">
        <f t="shared" si="124"/>
        <v>176</v>
      </c>
      <c r="CP95" s="68">
        <f t="shared" si="125"/>
        <v>476.29999999999995</v>
      </c>
      <c r="CQ95" s="68">
        <f t="shared" si="126"/>
        <v>148.80000000000001</v>
      </c>
      <c r="CR95" s="68">
        <f t="shared" si="127"/>
        <v>294</v>
      </c>
      <c r="CS95" s="69">
        <f t="shared" si="128"/>
        <v>251.39999999999998</v>
      </c>
      <c r="CU95" s="511">
        <f>SUM(SUMIF($AZ$8:$BF$8, {"NON";"NEUT"}, AZ95:BF95))/config!$AC$16</f>
        <v>5.6</v>
      </c>
      <c r="CV95" s="512">
        <f t="shared" si="121"/>
        <v>0.874999999999999</v>
      </c>
      <c r="CY95" s="67">
        <f>SUM(C99*$CY$108, C206*$CY$109, C313*$CY$110, C420*$CY$111, C527*$CY$112, C634*$CY$113, C741*$CY$114)/config!$AC$16</f>
        <v>0.2</v>
      </c>
      <c r="CZ95" s="68">
        <f>SUM(SUM(D99:E99)*$CY$108, SUM(D206:E206)*$CY$109, SUM(D313:E313)*$CY$110, SUM(D420:E420)*$CY$111, SUM(D527:E527)*$CY$112, SUM(D634:E634)*$CY$113, SUM(D741:E741)*$CY$114)/config!$AC$16</f>
        <v>5.4</v>
      </c>
      <c r="DA95" s="68">
        <f>SUM(SUM(F99:G99)*$CY$108, SUM(F206:G206)*$CY$109, SUM(F313:G313)*$CY$110, SUM(F420:G420)*$CY$111, SUM(F527:G527)*$CY$112, SUM(F634:G634)*$CY$113, SUM(F741:G741)*$CY$114)/config!$AC$16</f>
        <v>0</v>
      </c>
      <c r="DB95" s="68">
        <f>SUM(H99*$CY$108, H206*$CY$109, H313*$CY$110, H420*$CY$111, H527*$CY$112, H634*$CY$113, H741*$CY$114)/config!$AC$16</f>
        <v>0</v>
      </c>
      <c r="DC95" s="69">
        <f>SUM(SUM(I99:L99)*$CY$108, SUM(I206:L206)*$CY$109, SUM(I313:L313)*$CY$110, SUM(I420:L420)*$CY$111, SUM(I527:L527)*$CY$112, SUM(I634:L634)*$CY$113, SUM(I741:L741)*$CY$114)/config!$AC$16</f>
        <v>0</v>
      </c>
    </row>
    <row r="96" spans="1:107" ht="15" x14ac:dyDescent="0.25">
      <c r="A96" s="190" t="s">
        <v>121</v>
      </c>
      <c r="B96" s="642">
        <v>3</v>
      </c>
      <c r="C96" s="184">
        <v>0</v>
      </c>
      <c r="D96" s="184">
        <v>3</v>
      </c>
      <c r="E96" s="184">
        <v>0</v>
      </c>
      <c r="F96" s="184">
        <v>0</v>
      </c>
      <c r="G96" s="184">
        <v>0</v>
      </c>
      <c r="H96" s="184">
        <v>0</v>
      </c>
      <c r="I96" s="184">
        <v>0</v>
      </c>
      <c r="J96" s="184">
        <v>0</v>
      </c>
      <c r="K96" s="184">
        <v>0</v>
      </c>
      <c r="L96" s="184">
        <v>0</v>
      </c>
      <c r="M96" s="654" t="s">
        <v>24</v>
      </c>
      <c r="N96" s="669" t="s">
        <v>121</v>
      </c>
      <c r="O96" s="642">
        <v>0</v>
      </c>
      <c r="P96" s="184">
        <v>0</v>
      </c>
      <c r="Q96" s="184">
        <v>0</v>
      </c>
      <c r="R96" s="184">
        <v>0</v>
      </c>
      <c r="S96" s="184">
        <v>0</v>
      </c>
      <c r="T96" s="184">
        <v>0</v>
      </c>
      <c r="U96" s="184">
        <v>2</v>
      </c>
      <c r="V96" s="184">
        <v>1</v>
      </c>
      <c r="W96" s="184">
        <v>0</v>
      </c>
      <c r="X96" s="184">
        <v>0</v>
      </c>
      <c r="Y96" s="184">
        <v>0</v>
      </c>
      <c r="Z96" s="184">
        <v>0</v>
      </c>
      <c r="AA96" s="184">
        <v>0</v>
      </c>
      <c r="AB96" s="184">
        <v>0</v>
      </c>
      <c r="AC96" s="185">
        <v>38.799999999999997</v>
      </c>
      <c r="AD96" s="185" t="s">
        <v>24</v>
      </c>
      <c r="AE96" s="184">
        <v>0</v>
      </c>
      <c r="AF96" s="185">
        <v>0</v>
      </c>
      <c r="AG96" s="184">
        <v>0</v>
      </c>
      <c r="AH96" s="185">
        <v>0</v>
      </c>
      <c r="AI96" s="184">
        <v>0</v>
      </c>
      <c r="AJ96" s="643">
        <v>0</v>
      </c>
      <c r="AP96" s="401">
        <f t="shared" si="116"/>
        <v>1</v>
      </c>
      <c r="AR96" s="56">
        <f t="shared" si="117"/>
        <v>0.88541666666666563</v>
      </c>
      <c r="AS96" s="67">
        <f>SUM(C100,C207,C314,C421,C528,C635,C742)/config!$AC$13</f>
        <v>0.14285714285714285</v>
      </c>
      <c r="AT96" s="68">
        <f>SUM(D100:E100,D207:E207,D314:E314,D421:E421,D528:E528,D635:E635,D742:E742)/config!$AC$13</f>
        <v>5.5714285714285712</v>
      </c>
      <c r="AU96" s="68">
        <f>SUM(F100:G100,F207:G207,F314:G314,F421:G421,F528:G528,F635:G635,F742:G742)/config!$AC$13</f>
        <v>0.14285714285714285</v>
      </c>
      <c r="AV96" s="68">
        <f>SUM(H100,H207,H314,H421,H528,H635,H742)/config!$AC$13</f>
        <v>0</v>
      </c>
      <c r="AW96" s="69">
        <f>SUM(I100:L100,I207:L207,I314:L314,I421:L421,I528:L528,I635:L635,I742:L742)/config!$AC$13</f>
        <v>0</v>
      </c>
      <c r="AY96" s="56">
        <f t="shared" si="118"/>
        <v>0.88541666666666563</v>
      </c>
      <c r="AZ96" s="70">
        <f t="shared" si="85"/>
        <v>4</v>
      </c>
      <c r="BA96" s="71">
        <f t="shared" si="86"/>
        <v>8</v>
      </c>
      <c r="BB96" s="71">
        <f t="shared" si="87"/>
        <v>6</v>
      </c>
      <c r="BC96" s="71">
        <f t="shared" si="88"/>
        <v>7</v>
      </c>
      <c r="BD96" s="71">
        <f t="shared" si="89"/>
        <v>5</v>
      </c>
      <c r="BE96" s="71">
        <f t="shared" si="90"/>
        <v>3</v>
      </c>
      <c r="BF96" s="72">
        <f t="shared" si="91"/>
        <v>8</v>
      </c>
      <c r="BG96" s="45"/>
      <c r="BH96" s="56">
        <f t="shared" si="92"/>
        <v>0.88541666666666563</v>
      </c>
      <c r="BI96" s="67">
        <f t="shared" si="93"/>
        <v>49.2</v>
      </c>
      <c r="BJ96" s="68">
        <f t="shared" si="94"/>
        <v>45.2</v>
      </c>
      <c r="BK96" s="68">
        <f t="shared" si="95"/>
        <v>43.2</v>
      </c>
      <c r="BL96" s="68">
        <f t="shared" si="96"/>
        <v>53.6</v>
      </c>
      <c r="BM96" s="68">
        <f t="shared" si="97"/>
        <v>34.1</v>
      </c>
      <c r="BN96" s="68">
        <f t="shared" si="98"/>
        <v>34.6</v>
      </c>
      <c r="BO96" s="69">
        <f t="shared" si="99"/>
        <v>46.9</v>
      </c>
      <c r="BP96" s="63"/>
      <c r="BQ96" s="64">
        <f t="shared" si="100"/>
        <v>0.88541666666666563</v>
      </c>
      <c r="BR96" s="67" t="str">
        <f t="shared" si="101"/>
        <v/>
      </c>
      <c r="BS96" s="68" t="str">
        <f t="shared" si="102"/>
        <v/>
      </c>
      <c r="BT96" s="68" t="str">
        <f t="shared" si="103"/>
        <v/>
      </c>
      <c r="BU96" s="68" t="str">
        <f t="shared" si="104"/>
        <v/>
      </c>
      <c r="BV96" s="68" t="str">
        <f t="shared" si="105"/>
        <v/>
      </c>
      <c r="BW96" s="68" t="str">
        <f t="shared" si="106"/>
        <v/>
      </c>
      <c r="BX96" s="69" t="str">
        <f t="shared" si="107"/>
        <v/>
      </c>
      <c r="BY96" s="65"/>
      <c r="BZ96" s="66">
        <f t="shared" si="119"/>
        <v>43.828571428571429</v>
      </c>
      <c r="CA96" s="414" t="e">
        <f t="shared" si="108"/>
        <v>#N/A</v>
      </c>
      <c r="CB96" s="416">
        <f t="shared" si="122"/>
        <v>60</v>
      </c>
      <c r="CC96" s="65"/>
      <c r="CD96" s="67">
        <f t="shared" si="109"/>
        <v>0</v>
      </c>
      <c r="CE96" s="68">
        <f t="shared" si="110"/>
        <v>0</v>
      </c>
      <c r="CF96" s="68">
        <f t="shared" si="111"/>
        <v>0</v>
      </c>
      <c r="CG96" s="68">
        <f t="shared" si="112"/>
        <v>3</v>
      </c>
      <c r="CH96" s="68">
        <f t="shared" si="113"/>
        <v>0</v>
      </c>
      <c r="CI96" s="68">
        <f t="shared" si="114"/>
        <v>0</v>
      </c>
      <c r="CJ96" s="69">
        <f t="shared" si="115"/>
        <v>0</v>
      </c>
      <c r="CM96" s="67">
        <f t="shared" si="120"/>
        <v>196.8</v>
      </c>
      <c r="CN96" s="68">
        <f t="shared" si="123"/>
        <v>361.6</v>
      </c>
      <c r="CO96" s="68">
        <f t="shared" si="124"/>
        <v>259.20000000000005</v>
      </c>
      <c r="CP96" s="68">
        <f t="shared" si="125"/>
        <v>375.2</v>
      </c>
      <c r="CQ96" s="68">
        <f t="shared" si="126"/>
        <v>170.5</v>
      </c>
      <c r="CR96" s="68">
        <f t="shared" si="127"/>
        <v>103.80000000000001</v>
      </c>
      <c r="CS96" s="69">
        <f t="shared" si="128"/>
        <v>375.2</v>
      </c>
      <c r="CU96" s="511">
        <f>SUM(SUMIF($AZ$8:$BF$8, {"NON";"NEUT"}, AZ96:BF96))/config!$AC$16</f>
        <v>6.6</v>
      </c>
      <c r="CV96" s="512">
        <f t="shared" si="121"/>
        <v>0.88541666666666563</v>
      </c>
      <c r="CY96" s="67">
        <f>SUM(C100*$CY$108, C207*$CY$109, C314*$CY$110, C421*$CY$111, C528*$CY$112, C635*$CY$113, C742*$CY$114)/config!$AC$16</f>
        <v>0</v>
      </c>
      <c r="CZ96" s="68">
        <f>SUM(SUM(D100:E100)*$CY$108, SUM(D207:E207)*$CY$109, SUM(D314:E314)*$CY$110, SUM(D421:E421)*$CY$111, SUM(D528:E528)*$CY$112, SUM(D635:E635)*$CY$113, SUM(D742:E742)*$CY$114)/config!$AC$16</f>
        <v>6.4</v>
      </c>
      <c r="DA96" s="68">
        <f>SUM(SUM(F100:G100)*$CY$108, SUM(F207:G207)*$CY$109, SUM(F314:G314)*$CY$110, SUM(F421:G421)*$CY$111, SUM(F528:G528)*$CY$112, SUM(F635:G635)*$CY$113, SUM(F742:G742)*$CY$114)/config!$AC$16</f>
        <v>0.2</v>
      </c>
      <c r="DB96" s="68">
        <f>SUM(H100*$CY$108, H207*$CY$109, H314*$CY$110, H421*$CY$111, H528*$CY$112, H635*$CY$113, H742*$CY$114)/config!$AC$16</f>
        <v>0</v>
      </c>
      <c r="DC96" s="69">
        <f>SUM(SUM(I100:L100)*$CY$108, SUM(I207:L207)*$CY$109, SUM(I314:L314)*$CY$110, SUM(I421:L421)*$CY$111, SUM(I528:L528)*$CY$112, SUM(I635:L635)*$CY$113, SUM(I742:L742)*$CY$114)/config!$AC$16</f>
        <v>0</v>
      </c>
    </row>
    <row r="97" spans="1:107" ht="15" x14ac:dyDescent="0.25">
      <c r="A97" s="190" t="s">
        <v>122</v>
      </c>
      <c r="B97" s="642">
        <v>7</v>
      </c>
      <c r="C97" s="184">
        <v>0</v>
      </c>
      <c r="D97" s="184">
        <v>7</v>
      </c>
      <c r="E97" s="184">
        <v>0</v>
      </c>
      <c r="F97" s="184">
        <v>0</v>
      </c>
      <c r="G97" s="184">
        <v>0</v>
      </c>
      <c r="H97" s="184">
        <v>0</v>
      </c>
      <c r="I97" s="184">
        <v>0</v>
      </c>
      <c r="J97" s="184">
        <v>0</v>
      </c>
      <c r="K97" s="184">
        <v>0</v>
      </c>
      <c r="L97" s="184">
        <v>0</v>
      </c>
      <c r="M97" s="654" t="s">
        <v>24</v>
      </c>
      <c r="N97" s="669" t="s">
        <v>122</v>
      </c>
      <c r="O97" s="642">
        <v>0</v>
      </c>
      <c r="P97" s="184">
        <v>0</v>
      </c>
      <c r="Q97" s="184">
        <v>0</v>
      </c>
      <c r="R97" s="184">
        <v>0</v>
      </c>
      <c r="S97" s="184">
        <v>0</v>
      </c>
      <c r="T97" s="184">
        <v>1</v>
      </c>
      <c r="U97" s="184">
        <v>1</v>
      </c>
      <c r="V97" s="184">
        <v>1</v>
      </c>
      <c r="W97" s="184">
        <v>2</v>
      </c>
      <c r="X97" s="184">
        <v>2</v>
      </c>
      <c r="Y97" s="184">
        <v>0</v>
      </c>
      <c r="Z97" s="184">
        <v>0</v>
      </c>
      <c r="AA97" s="184">
        <v>0</v>
      </c>
      <c r="AB97" s="184">
        <v>0</v>
      </c>
      <c r="AC97" s="185">
        <v>44.8</v>
      </c>
      <c r="AD97" s="185" t="s">
        <v>24</v>
      </c>
      <c r="AE97" s="184">
        <v>0</v>
      </c>
      <c r="AF97" s="185">
        <v>0</v>
      </c>
      <c r="AG97" s="184">
        <v>0</v>
      </c>
      <c r="AH97" s="185">
        <v>0</v>
      </c>
      <c r="AI97" s="184">
        <v>0</v>
      </c>
      <c r="AJ97" s="643">
        <v>0</v>
      </c>
      <c r="AP97" s="401">
        <f t="shared" si="116"/>
        <v>2</v>
      </c>
      <c r="AR97" s="56">
        <f t="shared" si="117"/>
        <v>0.89583333333333226</v>
      </c>
      <c r="AS97" s="67">
        <f>SUM(C101,C208,C315,C422,C529,C636,C743)/config!$AC$13</f>
        <v>0</v>
      </c>
      <c r="AT97" s="68">
        <f>SUM(D101:E101,D208:E208,D315:E315,D422:E422,D529:E529,D636:E636,D743:E743)/config!$AC$13</f>
        <v>3.2857142857142856</v>
      </c>
      <c r="AU97" s="68">
        <f>SUM(F101:G101,F208:G208,F315:G315,F422:G422,F529:G529,F636:G636,F743:G743)/config!$AC$13</f>
        <v>0.2857142857142857</v>
      </c>
      <c r="AV97" s="68">
        <f>SUM(H101,H208,H315,H422,H529,H636,H743)/config!$AC$13</f>
        <v>0</v>
      </c>
      <c r="AW97" s="69">
        <f>SUM(I101:L101,I208:L208,I315:L315,I422:L422,I529:L529,I636:L636,I743:L743)/config!$AC$13</f>
        <v>0</v>
      </c>
      <c r="AY97" s="56">
        <f t="shared" si="118"/>
        <v>0.89583333333333226</v>
      </c>
      <c r="AZ97" s="70">
        <f t="shared" si="85"/>
        <v>3</v>
      </c>
      <c r="BA97" s="71">
        <f t="shared" si="86"/>
        <v>7</v>
      </c>
      <c r="BB97" s="71">
        <f t="shared" si="87"/>
        <v>4</v>
      </c>
      <c r="BC97" s="71">
        <f t="shared" si="88"/>
        <v>2</v>
      </c>
      <c r="BD97" s="71">
        <f t="shared" si="89"/>
        <v>4</v>
      </c>
      <c r="BE97" s="71">
        <f t="shared" si="90"/>
        <v>2</v>
      </c>
      <c r="BF97" s="72">
        <f t="shared" si="91"/>
        <v>3</v>
      </c>
      <c r="BG97" s="45"/>
      <c r="BH97" s="56">
        <f t="shared" si="92"/>
        <v>0.89583333333333226</v>
      </c>
      <c r="BI97" s="67">
        <f t="shared" si="93"/>
        <v>38.4</v>
      </c>
      <c r="BJ97" s="68">
        <f t="shared" si="94"/>
        <v>43.3</v>
      </c>
      <c r="BK97" s="68">
        <f t="shared" si="95"/>
        <v>50.7</v>
      </c>
      <c r="BL97" s="68">
        <f t="shared" si="96"/>
        <v>45.9</v>
      </c>
      <c r="BM97" s="68">
        <f t="shared" si="97"/>
        <v>47.3</v>
      </c>
      <c r="BN97" s="68">
        <f t="shared" si="98"/>
        <v>47.1</v>
      </c>
      <c r="BO97" s="69">
        <f t="shared" si="99"/>
        <v>43.6</v>
      </c>
      <c r="BP97" s="63"/>
      <c r="BQ97" s="64">
        <f t="shared" si="100"/>
        <v>0.89583333333333226</v>
      </c>
      <c r="BR97" s="67" t="str">
        <f t="shared" si="101"/>
        <v/>
      </c>
      <c r="BS97" s="68" t="str">
        <f t="shared" si="102"/>
        <v/>
      </c>
      <c r="BT97" s="68" t="str">
        <f t="shared" si="103"/>
        <v/>
      </c>
      <c r="BU97" s="68" t="str">
        <f t="shared" si="104"/>
        <v/>
      </c>
      <c r="BV97" s="68" t="str">
        <f t="shared" si="105"/>
        <v/>
      </c>
      <c r="BW97" s="68" t="str">
        <f t="shared" si="106"/>
        <v/>
      </c>
      <c r="BX97" s="69" t="str">
        <f t="shared" si="107"/>
        <v/>
      </c>
      <c r="BY97" s="65"/>
      <c r="BZ97" s="66">
        <f t="shared" si="119"/>
        <v>45.18571428571429</v>
      </c>
      <c r="CA97" s="414" t="e">
        <f t="shared" si="108"/>
        <v>#N/A</v>
      </c>
      <c r="CB97" s="416">
        <f t="shared" si="122"/>
        <v>60</v>
      </c>
      <c r="CC97" s="65"/>
      <c r="CD97" s="67">
        <f t="shared" si="109"/>
        <v>0</v>
      </c>
      <c r="CE97" s="68">
        <f t="shared" si="110"/>
        <v>0</v>
      </c>
      <c r="CF97" s="68">
        <f t="shared" si="111"/>
        <v>1</v>
      </c>
      <c r="CG97" s="68">
        <f t="shared" si="112"/>
        <v>0</v>
      </c>
      <c r="CH97" s="68">
        <f t="shared" si="113"/>
        <v>0</v>
      </c>
      <c r="CI97" s="68">
        <f t="shared" si="114"/>
        <v>0</v>
      </c>
      <c r="CJ97" s="69">
        <f t="shared" si="115"/>
        <v>0</v>
      </c>
      <c r="CM97" s="67">
        <f t="shared" si="120"/>
        <v>115.19999999999999</v>
      </c>
      <c r="CN97" s="68">
        <f t="shared" si="123"/>
        <v>303.09999999999997</v>
      </c>
      <c r="CO97" s="68">
        <f t="shared" si="124"/>
        <v>202.8</v>
      </c>
      <c r="CP97" s="68">
        <f t="shared" si="125"/>
        <v>91.8</v>
      </c>
      <c r="CQ97" s="68">
        <f t="shared" si="126"/>
        <v>189.2</v>
      </c>
      <c r="CR97" s="68">
        <f t="shared" si="127"/>
        <v>94.2</v>
      </c>
      <c r="CS97" s="69">
        <f t="shared" si="128"/>
        <v>130.80000000000001</v>
      </c>
      <c r="CU97" s="511">
        <f>SUM(SUMIF($AZ$8:$BF$8, {"NON";"NEUT"}, AZ97:BF97))/config!$AC$16</f>
        <v>3.8</v>
      </c>
      <c r="CV97" s="512">
        <f t="shared" si="121"/>
        <v>0.89583333333333226</v>
      </c>
      <c r="CY97" s="67">
        <f>SUM(C101*$CY$108, C208*$CY$109, C315*$CY$110, C422*$CY$111, C529*$CY$112, C636*$CY$113, C743*$CY$114)/config!$AC$16</f>
        <v>0</v>
      </c>
      <c r="CZ97" s="68">
        <f>SUM(SUM(D101:E101)*$CY$108, SUM(D208:E208)*$CY$109, SUM(D315:E315)*$CY$110, SUM(D422:E422)*$CY$111, SUM(D529:E529)*$CY$112, SUM(D636:E636)*$CY$113, SUM(D743:E743)*$CY$114)/config!$AC$16</f>
        <v>3.4</v>
      </c>
      <c r="DA97" s="68">
        <f>SUM(SUM(F101:G101)*$CY$108, SUM(F208:G208)*$CY$109, SUM(F315:G315)*$CY$110, SUM(F422:G422)*$CY$111, SUM(F529:G529)*$CY$112, SUM(F636:G636)*$CY$113, SUM(F743:G743)*$CY$114)/config!$AC$16</f>
        <v>0.4</v>
      </c>
      <c r="DB97" s="68">
        <f>SUM(H101*$CY$108, H208*$CY$109, H315*$CY$110, H422*$CY$111, H529*$CY$112, H636*$CY$113, H743*$CY$114)/config!$AC$16</f>
        <v>0</v>
      </c>
      <c r="DC97" s="69">
        <f>SUM(SUM(I101:L101)*$CY$108, SUM(I208:L208)*$CY$109, SUM(I315:L315)*$CY$110, SUM(I422:L422)*$CY$111, SUM(I529:L529)*$CY$112, SUM(I636:L636)*$CY$113, SUM(I743:L743)*$CY$114)/config!$AC$16</f>
        <v>0</v>
      </c>
    </row>
    <row r="98" spans="1:107" ht="15" x14ac:dyDescent="0.25">
      <c r="A98" s="190" t="s">
        <v>123</v>
      </c>
      <c r="B98" s="642">
        <v>2</v>
      </c>
      <c r="C98" s="184">
        <v>0</v>
      </c>
      <c r="D98" s="184">
        <v>1</v>
      </c>
      <c r="E98" s="184">
        <v>1</v>
      </c>
      <c r="F98" s="184">
        <v>0</v>
      </c>
      <c r="G98" s="184">
        <v>0</v>
      </c>
      <c r="H98" s="184">
        <v>0</v>
      </c>
      <c r="I98" s="184">
        <v>0</v>
      </c>
      <c r="J98" s="184">
        <v>0</v>
      </c>
      <c r="K98" s="184">
        <v>0</v>
      </c>
      <c r="L98" s="184">
        <v>0</v>
      </c>
      <c r="M98" s="654" t="s">
        <v>24</v>
      </c>
      <c r="N98" s="669" t="s">
        <v>123</v>
      </c>
      <c r="O98" s="642">
        <v>0</v>
      </c>
      <c r="P98" s="184">
        <v>0</v>
      </c>
      <c r="Q98" s="184">
        <v>0</v>
      </c>
      <c r="R98" s="184">
        <v>0</v>
      </c>
      <c r="S98" s="184">
        <v>0</v>
      </c>
      <c r="T98" s="184">
        <v>0</v>
      </c>
      <c r="U98" s="184">
        <v>1</v>
      </c>
      <c r="V98" s="184">
        <v>0</v>
      </c>
      <c r="W98" s="184">
        <v>0</v>
      </c>
      <c r="X98" s="184">
        <v>1</v>
      </c>
      <c r="Y98" s="184">
        <v>0</v>
      </c>
      <c r="Z98" s="184">
        <v>0</v>
      </c>
      <c r="AA98" s="184">
        <v>0</v>
      </c>
      <c r="AB98" s="184">
        <v>0</v>
      </c>
      <c r="AC98" s="185">
        <v>42.7</v>
      </c>
      <c r="AD98" s="185" t="s">
        <v>24</v>
      </c>
      <c r="AE98" s="184">
        <v>0</v>
      </c>
      <c r="AF98" s="185">
        <v>0</v>
      </c>
      <c r="AG98" s="184">
        <v>0</v>
      </c>
      <c r="AH98" s="185">
        <v>0</v>
      </c>
      <c r="AI98" s="184">
        <v>0</v>
      </c>
      <c r="AJ98" s="643">
        <v>0</v>
      </c>
      <c r="AP98" s="401">
        <f t="shared" si="116"/>
        <v>0</v>
      </c>
      <c r="AR98" s="56">
        <f t="shared" si="117"/>
        <v>0.90624999999999889</v>
      </c>
      <c r="AS98" s="67">
        <f>SUM(C102,C209,C316,C423,C530,C637,C744)/config!$AC$13</f>
        <v>0</v>
      </c>
      <c r="AT98" s="68">
        <f>SUM(D102:E102,D209:E209,D316:E316,D423:E423,D530:E530,D637:E637,D744:E744)/config!$AC$13</f>
        <v>3.5714285714285716</v>
      </c>
      <c r="AU98" s="68">
        <f>SUM(F102:G102,F209:G209,F316:G316,F423:G423,F530:G530,F637:G637,F744:G744)/config!$AC$13</f>
        <v>0</v>
      </c>
      <c r="AV98" s="68">
        <f>SUM(H102,H209,H316,H423,H530,H637,H744)/config!$AC$13</f>
        <v>0</v>
      </c>
      <c r="AW98" s="69">
        <f>SUM(I102:L102,I209:L209,I316:L316,I423:L423,I530:L530,I637:L637,I744:L744)/config!$AC$13</f>
        <v>0</v>
      </c>
      <c r="AY98" s="56">
        <f t="shared" si="118"/>
        <v>0.90624999999999889</v>
      </c>
      <c r="AZ98" s="70">
        <f t="shared" si="85"/>
        <v>0</v>
      </c>
      <c r="BA98" s="71">
        <f t="shared" si="86"/>
        <v>5</v>
      </c>
      <c r="BB98" s="71">
        <f t="shared" si="87"/>
        <v>7</v>
      </c>
      <c r="BC98" s="71">
        <f t="shared" si="88"/>
        <v>5</v>
      </c>
      <c r="BD98" s="71">
        <f t="shared" si="89"/>
        <v>4</v>
      </c>
      <c r="BE98" s="71">
        <f t="shared" si="90"/>
        <v>2</v>
      </c>
      <c r="BF98" s="72">
        <f t="shared" si="91"/>
        <v>2</v>
      </c>
      <c r="BG98" s="45"/>
      <c r="BH98" s="56">
        <f t="shared" si="92"/>
        <v>0.90624999999999889</v>
      </c>
      <c r="BI98" s="67" t="str">
        <f t="shared" si="93"/>
        <v/>
      </c>
      <c r="BJ98" s="68">
        <f t="shared" si="94"/>
        <v>41.2</v>
      </c>
      <c r="BK98" s="68">
        <f t="shared" si="95"/>
        <v>39.799999999999997</v>
      </c>
      <c r="BL98" s="68">
        <f t="shared" si="96"/>
        <v>44.5</v>
      </c>
      <c r="BM98" s="68">
        <f t="shared" si="97"/>
        <v>43.7</v>
      </c>
      <c r="BN98" s="68">
        <f t="shared" si="98"/>
        <v>57.2</v>
      </c>
      <c r="BO98" s="69">
        <f t="shared" si="99"/>
        <v>43.6</v>
      </c>
      <c r="BP98" s="63"/>
      <c r="BQ98" s="64">
        <f t="shared" si="100"/>
        <v>0.90624999999999889</v>
      </c>
      <c r="BR98" s="67" t="str">
        <f t="shared" si="101"/>
        <v/>
      </c>
      <c r="BS98" s="68" t="str">
        <f t="shared" si="102"/>
        <v/>
      </c>
      <c r="BT98" s="68" t="str">
        <f t="shared" si="103"/>
        <v/>
      </c>
      <c r="BU98" s="68" t="str">
        <f t="shared" si="104"/>
        <v/>
      </c>
      <c r="BV98" s="68" t="str">
        <f t="shared" si="105"/>
        <v/>
      </c>
      <c r="BW98" s="68" t="str">
        <f t="shared" si="106"/>
        <v/>
      </c>
      <c r="BX98" s="69" t="str">
        <f t="shared" si="107"/>
        <v/>
      </c>
      <c r="BY98" s="65"/>
      <c r="BZ98" s="66">
        <f t="shared" si="119"/>
        <v>45</v>
      </c>
      <c r="CA98" s="414" t="e">
        <f t="shared" si="108"/>
        <v>#N/A</v>
      </c>
      <c r="CB98" s="416">
        <f t="shared" si="122"/>
        <v>60</v>
      </c>
      <c r="CC98" s="65"/>
      <c r="CD98" s="67">
        <f t="shared" si="109"/>
        <v>0</v>
      </c>
      <c r="CE98" s="68">
        <f t="shared" si="110"/>
        <v>0</v>
      </c>
      <c r="CF98" s="68">
        <f t="shared" si="111"/>
        <v>0</v>
      </c>
      <c r="CG98" s="68">
        <f t="shared" si="112"/>
        <v>0</v>
      </c>
      <c r="CH98" s="68">
        <f t="shared" si="113"/>
        <v>0</v>
      </c>
      <c r="CI98" s="68">
        <f t="shared" si="114"/>
        <v>1</v>
      </c>
      <c r="CJ98" s="69">
        <f t="shared" si="115"/>
        <v>0</v>
      </c>
      <c r="CM98" s="67" t="str">
        <f t="shared" si="120"/>
        <v/>
      </c>
      <c r="CN98" s="68">
        <f t="shared" si="123"/>
        <v>206</v>
      </c>
      <c r="CO98" s="68">
        <f t="shared" si="124"/>
        <v>278.59999999999997</v>
      </c>
      <c r="CP98" s="68">
        <f t="shared" si="125"/>
        <v>222.5</v>
      </c>
      <c r="CQ98" s="68">
        <f t="shared" si="126"/>
        <v>174.8</v>
      </c>
      <c r="CR98" s="68">
        <f t="shared" si="127"/>
        <v>114.4</v>
      </c>
      <c r="CS98" s="69">
        <f t="shared" si="128"/>
        <v>87.2</v>
      </c>
      <c r="CU98" s="511">
        <f>SUM(SUMIF($AZ$8:$BF$8, {"NON";"NEUT"}, AZ98:BF98))/config!$AC$16</f>
        <v>3.8</v>
      </c>
      <c r="CV98" s="512">
        <f t="shared" si="121"/>
        <v>0.90624999999999889</v>
      </c>
      <c r="CY98" s="67">
        <f>SUM(C102*$CY$108, C209*$CY$109, C316*$CY$110, C423*$CY$111, C530*$CY$112, C637*$CY$113, C744*$CY$114)/config!$AC$16</f>
        <v>0</v>
      </c>
      <c r="CZ98" s="68">
        <f>SUM(SUM(D102:E102)*$CY$108, SUM(D209:E209)*$CY$109, SUM(D316:E316)*$CY$110, SUM(D423:E423)*$CY$111, SUM(D530:E530)*$CY$112, SUM(D637:E637)*$CY$113, SUM(D744:E744)*$CY$114)/config!$AC$16</f>
        <v>3.8</v>
      </c>
      <c r="DA98" s="68">
        <f>SUM(SUM(F102:G102)*$CY$108, SUM(F209:G209)*$CY$109, SUM(F316:G316)*$CY$110, SUM(F423:G423)*$CY$111, SUM(F530:G530)*$CY$112, SUM(F637:G637)*$CY$113, SUM(F744:G744)*$CY$114)/config!$AC$16</f>
        <v>0</v>
      </c>
      <c r="DB98" s="68">
        <f>SUM(H102*$CY$108, H209*$CY$109, H316*$CY$110, H423*$CY$111, H530*$CY$112, H637*$CY$113, H744*$CY$114)/config!$AC$16</f>
        <v>0</v>
      </c>
      <c r="DC98" s="69">
        <f>SUM(SUM(I102:L102)*$CY$108, SUM(I209:L209)*$CY$109, SUM(I316:L316)*$CY$110, SUM(I423:L423)*$CY$111, SUM(I530:L530)*$CY$112, SUM(I637:L637)*$CY$113, SUM(I744:L744)*$CY$114)/config!$AC$16</f>
        <v>0</v>
      </c>
    </row>
    <row r="99" spans="1:107" ht="15" x14ac:dyDescent="0.25">
      <c r="A99" s="190" t="s">
        <v>74</v>
      </c>
      <c r="B99" s="642">
        <v>3</v>
      </c>
      <c r="C99" s="184">
        <v>0</v>
      </c>
      <c r="D99" s="184">
        <v>3</v>
      </c>
      <c r="E99" s="184">
        <v>0</v>
      </c>
      <c r="F99" s="184">
        <v>0</v>
      </c>
      <c r="G99" s="184">
        <v>0</v>
      </c>
      <c r="H99" s="184">
        <v>0</v>
      </c>
      <c r="I99" s="184">
        <v>0</v>
      </c>
      <c r="J99" s="184">
        <v>0</v>
      </c>
      <c r="K99" s="184">
        <v>0</v>
      </c>
      <c r="L99" s="184">
        <v>0</v>
      </c>
      <c r="M99" s="654" t="s">
        <v>24</v>
      </c>
      <c r="N99" s="669" t="s">
        <v>74</v>
      </c>
      <c r="O99" s="642">
        <v>0</v>
      </c>
      <c r="P99" s="184">
        <v>0</v>
      </c>
      <c r="Q99" s="184">
        <v>0</v>
      </c>
      <c r="R99" s="184">
        <v>0</v>
      </c>
      <c r="S99" s="184">
        <v>0</v>
      </c>
      <c r="T99" s="184">
        <v>0</v>
      </c>
      <c r="U99" s="184">
        <v>1</v>
      </c>
      <c r="V99" s="184">
        <v>0</v>
      </c>
      <c r="W99" s="184">
        <v>0</v>
      </c>
      <c r="X99" s="184">
        <v>2</v>
      </c>
      <c r="Y99" s="184">
        <v>0</v>
      </c>
      <c r="Z99" s="184">
        <v>0</v>
      </c>
      <c r="AA99" s="184">
        <v>0</v>
      </c>
      <c r="AB99" s="184">
        <v>0</v>
      </c>
      <c r="AC99" s="185">
        <v>47.4</v>
      </c>
      <c r="AD99" s="185" t="s">
        <v>24</v>
      </c>
      <c r="AE99" s="184">
        <v>0</v>
      </c>
      <c r="AF99" s="185">
        <v>0</v>
      </c>
      <c r="AG99" s="184">
        <v>0</v>
      </c>
      <c r="AH99" s="185">
        <v>0</v>
      </c>
      <c r="AI99" s="184">
        <v>0</v>
      </c>
      <c r="AJ99" s="643">
        <v>0</v>
      </c>
      <c r="AP99" s="401">
        <f t="shared" si="116"/>
        <v>1</v>
      </c>
      <c r="AR99" s="56">
        <f t="shared" si="117"/>
        <v>0.91666666666666552</v>
      </c>
      <c r="AS99" s="67">
        <f>SUM(C103,C210,C317,C424,C531,C638,C745)/config!$AC$13</f>
        <v>0</v>
      </c>
      <c r="AT99" s="68">
        <f>SUM(D103:E103,D210:E210,D317:E317,D424:E424,D531:E531,D638:E638,D745:E745)/config!$AC$13</f>
        <v>3.1428571428571428</v>
      </c>
      <c r="AU99" s="68">
        <f>SUM(F103:G103,F210:G210,F317:G317,F424:G424,F531:G531,F638:G638,F745:G745)/config!$AC$13</f>
        <v>0.14285714285714285</v>
      </c>
      <c r="AV99" s="68">
        <f>SUM(H103,H210,H317,H424,H531,H638,H745)/config!$AC$13</f>
        <v>0</v>
      </c>
      <c r="AW99" s="69">
        <f>SUM(I103:L103,I210:L210,I317:L317,I424:L424,I531:L531,I638:L638,I745:L745)/config!$AC$13</f>
        <v>0</v>
      </c>
      <c r="AY99" s="56">
        <f t="shared" si="118"/>
        <v>0.91666666666666552</v>
      </c>
      <c r="AZ99" s="70">
        <f t="shared" si="85"/>
        <v>3</v>
      </c>
      <c r="BA99" s="71">
        <f t="shared" si="86"/>
        <v>4</v>
      </c>
      <c r="BB99" s="71">
        <f t="shared" si="87"/>
        <v>4</v>
      </c>
      <c r="BC99" s="71">
        <f t="shared" si="88"/>
        <v>2</v>
      </c>
      <c r="BD99" s="71">
        <f t="shared" si="89"/>
        <v>4</v>
      </c>
      <c r="BE99" s="71">
        <f t="shared" si="90"/>
        <v>2</v>
      </c>
      <c r="BF99" s="72">
        <f t="shared" si="91"/>
        <v>4</v>
      </c>
      <c r="BG99" s="45"/>
      <c r="BH99" s="56">
        <f t="shared" si="92"/>
        <v>0.91666666666666552</v>
      </c>
      <c r="BI99" s="67">
        <f t="shared" si="93"/>
        <v>48.7</v>
      </c>
      <c r="BJ99" s="68">
        <f t="shared" si="94"/>
        <v>45.6</v>
      </c>
      <c r="BK99" s="68">
        <f t="shared" si="95"/>
        <v>47.8</v>
      </c>
      <c r="BL99" s="68">
        <f t="shared" si="96"/>
        <v>45.2</v>
      </c>
      <c r="BM99" s="68">
        <f t="shared" si="97"/>
        <v>38.4</v>
      </c>
      <c r="BN99" s="68">
        <f t="shared" si="98"/>
        <v>49.6</v>
      </c>
      <c r="BO99" s="69">
        <f t="shared" si="99"/>
        <v>49.4</v>
      </c>
      <c r="BP99" s="63"/>
      <c r="BQ99" s="64">
        <f t="shared" si="100"/>
        <v>0.91666666666666552</v>
      </c>
      <c r="BR99" s="67" t="str">
        <f t="shared" si="101"/>
        <v/>
      </c>
      <c r="BS99" s="68" t="str">
        <f t="shared" si="102"/>
        <v/>
      </c>
      <c r="BT99" s="68" t="str">
        <f t="shared" si="103"/>
        <v/>
      </c>
      <c r="BU99" s="68" t="str">
        <f t="shared" si="104"/>
        <v/>
      </c>
      <c r="BV99" s="68" t="str">
        <f t="shared" si="105"/>
        <v/>
      </c>
      <c r="BW99" s="68" t="str">
        <f t="shared" si="106"/>
        <v/>
      </c>
      <c r="BX99" s="69" t="str">
        <f t="shared" si="107"/>
        <v/>
      </c>
      <c r="BY99" s="65"/>
      <c r="BZ99" s="66">
        <f t="shared" si="119"/>
        <v>46.385714285714286</v>
      </c>
      <c r="CA99" s="414" t="e">
        <f t="shared" si="108"/>
        <v>#N/A</v>
      </c>
      <c r="CB99" s="416">
        <f t="shared" si="122"/>
        <v>60</v>
      </c>
      <c r="CC99" s="65"/>
      <c r="CD99" s="67">
        <f t="shared" si="109"/>
        <v>0</v>
      </c>
      <c r="CE99" s="68">
        <f t="shared" si="110"/>
        <v>0</v>
      </c>
      <c r="CF99" s="68">
        <f t="shared" si="111"/>
        <v>0</v>
      </c>
      <c r="CG99" s="68">
        <f t="shared" si="112"/>
        <v>0</v>
      </c>
      <c r="CH99" s="68">
        <f t="shared" si="113"/>
        <v>0</v>
      </c>
      <c r="CI99" s="68">
        <f t="shared" si="114"/>
        <v>0</v>
      </c>
      <c r="CJ99" s="69">
        <f t="shared" si="115"/>
        <v>2</v>
      </c>
      <c r="CM99" s="67">
        <f t="shared" si="120"/>
        <v>146.10000000000002</v>
      </c>
      <c r="CN99" s="68">
        <f t="shared" si="123"/>
        <v>182.4</v>
      </c>
      <c r="CO99" s="68">
        <f t="shared" si="124"/>
        <v>191.2</v>
      </c>
      <c r="CP99" s="68">
        <f t="shared" si="125"/>
        <v>90.4</v>
      </c>
      <c r="CQ99" s="68">
        <f t="shared" si="126"/>
        <v>153.6</v>
      </c>
      <c r="CR99" s="68">
        <f t="shared" si="127"/>
        <v>99.2</v>
      </c>
      <c r="CS99" s="69">
        <f t="shared" si="128"/>
        <v>197.6</v>
      </c>
      <c r="CU99" s="511">
        <f>SUM(SUMIF($AZ$8:$BF$8, {"NON";"NEUT"}, AZ99:BF99))/config!$AC$16</f>
        <v>3.4</v>
      </c>
      <c r="CV99" s="512">
        <f t="shared" si="121"/>
        <v>0.91666666666666552</v>
      </c>
      <c r="CY99" s="67">
        <f>SUM(C103*$CY$108, C210*$CY$109, C317*$CY$110, C424*$CY$111, C531*$CY$112, C638*$CY$113, C745*$CY$114)/config!$AC$16</f>
        <v>0</v>
      </c>
      <c r="CZ99" s="68">
        <f>SUM(SUM(D103:E103)*$CY$108, SUM(D210:E210)*$CY$109, SUM(D317:E317)*$CY$110, SUM(D424:E424)*$CY$111, SUM(D531:E531)*$CY$112, SUM(D638:E638)*$CY$113, SUM(D745:E745)*$CY$114)/config!$AC$16</f>
        <v>3.2</v>
      </c>
      <c r="DA99" s="68">
        <f>SUM(SUM(F103:G103)*$CY$108, SUM(F210:G210)*$CY$109, SUM(F317:G317)*$CY$110, SUM(F424:G424)*$CY$111, SUM(F531:G531)*$CY$112, SUM(F638:G638)*$CY$113, SUM(F745:G745)*$CY$114)/config!$AC$16</f>
        <v>0.2</v>
      </c>
      <c r="DB99" s="68">
        <f>SUM(H103*$CY$108, H210*$CY$109, H317*$CY$110, H424*$CY$111, H531*$CY$112, H638*$CY$113, H745*$CY$114)/config!$AC$16</f>
        <v>0</v>
      </c>
      <c r="DC99" s="69">
        <f>SUM(SUM(I103:L103)*$CY$108, SUM(I210:L210)*$CY$109, SUM(I317:L317)*$CY$110, SUM(I424:L424)*$CY$111, SUM(I531:L531)*$CY$112, SUM(I638:L638)*$CY$113, SUM(I745:L745)*$CY$114)/config!$AC$16</f>
        <v>0</v>
      </c>
    </row>
    <row r="100" spans="1:107" ht="15" x14ac:dyDescent="0.25">
      <c r="A100" s="190" t="s">
        <v>124</v>
      </c>
      <c r="B100" s="642">
        <v>4</v>
      </c>
      <c r="C100" s="184">
        <v>0</v>
      </c>
      <c r="D100" s="184">
        <v>4</v>
      </c>
      <c r="E100" s="184">
        <v>0</v>
      </c>
      <c r="F100" s="184">
        <v>0</v>
      </c>
      <c r="G100" s="184">
        <v>0</v>
      </c>
      <c r="H100" s="184">
        <v>0</v>
      </c>
      <c r="I100" s="184">
        <v>0</v>
      </c>
      <c r="J100" s="184">
        <v>0</v>
      </c>
      <c r="K100" s="184">
        <v>0</v>
      </c>
      <c r="L100" s="184">
        <v>0</v>
      </c>
      <c r="M100" s="654" t="s">
        <v>24</v>
      </c>
      <c r="N100" s="669" t="s">
        <v>124</v>
      </c>
      <c r="O100" s="642">
        <v>0</v>
      </c>
      <c r="P100" s="184">
        <v>0</v>
      </c>
      <c r="Q100" s="184">
        <v>0</v>
      </c>
      <c r="R100" s="184">
        <v>0</v>
      </c>
      <c r="S100" s="184">
        <v>0</v>
      </c>
      <c r="T100" s="184">
        <v>0</v>
      </c>
      <c r="U100" s="184">
        <v>0</v>
      </c>
      <c r="V100" s="184">
        <v>1</v>
      </c>
      <c r="W100" s="184">
        <v>1</v>
      </c>
      <c r="X100" s="184">
        <v>2</v>
      </c>
      <c r="Y100" s="184">
        <v>0</v>
      </c>
      <c r="Z100" s="184">
        <v>0</v>
      </c>
      <c r="AA100" s="184">
        <v>0</v>
      </c>
      <c r="AB100" s="184">
        <v>0</v>
      </c>
      <c r="AC100" s="185">
        <v>49.2</v>
      </c>
      <c r="AD100" s="185" t="s">
        <v>24</v>
      </c>
      <c r="AE100" s="184">
        <v>0</v>
      </c>
      <c r="AF100" s="185">
        <v>0</v>
      </c>
      <c r="AG100" s="184">
        <v>0</v>
      </c>
      <c r="AH100" s="185">
        <v>0</v>
      </c>
      <c r="AI100" s="184">
        <v>0</v>
      </c>
      <c r="AJ100" s="643">
        <v>0</v>
      </c>
      <c r="AP100" s="401">
        <f t="shared" si="116"/>
        <v>0</v>
      </c>
      <c r="AR100" s="56">
        <f t="shared" si="117"/>
        <v>0.92708333333333215</v>
      </c>
      <c r="AS100" s="67">
        <f>SUM(C104,C211,C318,C425,C532,C639,C746)/config!$AC$13</f>
        <v>0</v>
      </c>
      <c r="AT100" s="68">
        <f>SUM(D104:E104,D211:E211,D318:E318,D425:E425,D532:E532,D639:E639,D746:E746)/config!$AC$13</f>
        <v>2</v>
      </c>
      <c r="AU100" s="68">
        <f>SUM(F104:G104,F211:G211,F318:G318,F425:G425,F532:G532,F639:G639,F746:G746)/config!$AC$13</f>
        <v>0</v>
      </c>
      <c r="AV100" s="68">
        <f>SUM(H104,H211,H318,H425,H532,H639,H746)/config!$AC$13</f>
        <v>0</v>
      </c>
      <c r="AW100" s="69">
        <f>SUM(I104:L104,I211:L211,I318:L318,I425:L425,I532:L532,I639:L639,I746:L746)/config!$AC$13</f>
        <v>0</v>
      </c>
      <c r="AY100" s="56">
        <f t="shared" si="118"/>
        <v>0.92708333333333215</v>
      </c>
      <c r="AZ100" s="70">
        <f t="shared" si="85"/>
        <v>1</v>
      </c>
      <c r="BA100" s="71">
        <f t="shared" si="86"/>
        <v>3</v>
      </c>
      <c r="BB100" s="71">
        <f t="shared" si="87"/>
        <v>2</v>
      </c>
      <c r="BC100" s="71">
        <f t="shared" si="88"/>
        <v>1</v>
      </c>
      <c r="BD100" s="71">
        <f t="shared" si="89"/>
        <v>3</v>
      </c>
      <c r="BE100" s="71">
        <f t="shared" si="90"/>
        <v>3</v>
      </c>
      <c r="BF100" s="72">
        <f t="shared" si="91"/>
        <v>1</v>
      </c>
      <c r="BG100" s="45"/>
      <c r="BH100" s="56">
        <f t="shared" si="92"/>
        <v>0.92708333333333215</v>
      </c>
      <c r="BI100" s="67">
        <f t="shared" si="93"/>
        <v>41.9</v>
      </c>
      <c r="BJ100" s="68">
        <f t="shared" si="94"/>
        <v>37.9</v>
      </c>
      <c r="BK100" s="68">
        <f t="shared" si="95"/>
        <v>43.3</v>
      </c>
      <c r="BL100" s="68">
        <f t="shared" si="96"/>
        <v>42.8</v>
      </c>
      <c r="BM100" s="68">
        <f t="shared" si="97"/>
        <v>38.6</v>
      </c>
      <c r="BN100" s="68">
        <f t="shared" si="98"/>
        <v>44.4</v>
      </c>
      <c r="BO100" s="69">
        <f t="shared" si="99"/>
        <v>46.5</v>
      </c>
      <c r="BP100" s="63"/>
      <c r="BQ100" s="64">
        <f t="shared" si="100"/>
        <v>0.92708333333333215</v>
      </c>
      <c r="BR100" s="67" t="str">
        <f t="shared" si="101"/>
        <v/>
      </c>
      <c r="BS100" s="68" t="str">
        <f t="shared" si="102"/>
        <v/>
      </c>
      <c r="BT100" s="68" t="str">
        <f t="shared" si="103"/>
        <v/>
      </c>
      <c r="BU100" s="68" t="str">
        <f t="shared" si="104"/>
        <v/>
      </c>
      <c r="BV100" s="68" t="str">
        <f t="shared" si="105"/>
        <v/>
      </c>
      <c r="BW100" s="68" t="str">
        <f t="shared" si="106"/>
        <v/>
      </c>
      <c r="BX100" s="69" t="str">
        <f t="shared" si="107"/>
        <v/>
      </c>
      <c r="BY100" s="65"/>
      <c r="BZ100" s="66">
        <f t="shared" si="119"/>
        <v>42.199999999999996</v>
      </c>
      <c r="CA100" s="414" t="e">
        <f t="shared" si="108"/>
        <v>#N/A</v>
      </c>
      <c r="CB100" s="416">
        <f t="shared" si="122"/>
        <v>60</v>
      </c>
      <c r="CC100" s="65"/>
      <c r="CD100" s="67">
        <f t="shared" si="109"/>
        <v>0</v>
      </c>
      <c r="CE100" s="68">
        <f t="shared" si="110"/>
        <v>0</v>
      </c>
      <c r="CF100" s="68">
        <f t="shared" si="111"/>
        <v>0</v>
      </c>
      <c r="CG100" s="68">
        <f t="shared" si="112"/>
        <v>0</v>
      </c>
      <c r="CH100" s="68">
        <f t="shared" si="113"/>
        <v>0</v>
      </c>
      <c r="CI100" s="68">
        <f t="shared" si="114"/>
        <v>0</v>
      </c>
      <c r="CJ100" s="69">
        <f t="shared" si="115"/>
        <v>0</v>
      </c>
      <c r="CM100" s="67">
        <f t="shared" si="120"/>
        <v>41.9</v>
      </c>
      <c r="CN100" s="68">
        <f t="shared" si="123"/>
        <v>113.69999999999999</v>
      </c>
      <c r="CO100" s="68">
        <f t="shared" si="124"/>
        <v>86.6</v>
      </c>
      <c r="CP100" s="68">
        <f t="shared" si="125"/>
        <v>42.8</v>
      </c>
      <c r="CQ100" s="68">
        <f t="shared" si="126"/>
        <v>115.80000000000001</v>
      </c>
      <c r="CR100" s="68">
        <f t="shared" si="127"/>
        <v>133.19999999999999</v>
      </c>
      <c r="CS100" s="69">
        <f t="shared" si="128"/>
        <v>46.5</v>
      </c>
      <c r="CU100" s="511">
        <f>SUM(SUMIF($AZ$8:$BF$8, {"NON";"NEUT"}, AZ100:BF100))/config!$AC$16</f>
        <v>1.6</v>
      </c>
      <c r="CV100" s="512">
        <f t="shared" si="121"/>
        <v>0.92708333333333215</v>
      </c>
      <c r="CY100" s="67">
        <f>SUM(C104*$CY$108, C211*$CY$109, C318*$CY$110, C425*$CY$111, C532*$CY$112, C639*$CY$113, C746*$CY$114)/config!$AC$16</f>
        <v>0</v>
      </c>
      <c r="CZ100" s="68">
        <f>SUM(SUM(D104:E104)*$CY$108, SUM(D211:E211)*$CY$109, SUM(D318:E318)*$CY$110, SUM(D425:E425)*$CY$111, SUM(D532:E532)*$CY$112, SUM(D639:E639)*$CY$113, SUM(D746:E746)*$CY$114)/config!$AC$16</f>
        <v>1.6</v>
      </c>
      <c r="DA100" s="68">
        <f>SUM(SUM(F104:G104)*$CY$108, SUM(F211:G211)*$CY$109, SUM(F318:G318)*$CY$110, SUM(F425:G425)*$CY$111, SUM(F532:G532)*$CY$112, SUM(F639:G639)*$CY$113, SUM(F746:G746)*$CY$114)/config!$AC$16</f>
        <v>0</v>
      </c>
      <c r="DB100" s="68">
        <f>SUM(H104*$CY$108, H211*$CY$109, H318*$CY$110, H425*$CY$111, H532*$CY$112, H639*$CY$113, H746*$CY$114)/config!$AC$16</f>
        <v>0</v>
      </c>
      <c r="DC100" s="69">
        <f>SUM(SUM(I104:L104)*$CY$108, SUM(I211:L211)*$CY$109, SUM(I318:L318)*$CY$110, SUM(I425:L425)*$CY$111, SUM(I532:L532)*$CY$112, SUM(I639:L639)*$CY$113, SUM(I746:L746)*$CY$114)/config!$AC$16</f>
        <v>0</v>
      </c>
    </row>
    <row r="101" spans="1:107" ht="15" x14ac:dyDescent="0.25">
      <c r="A101" s="190" t="s">
        <v>125</v>
      </c>
      <c r="B101" s="642">
        <v>3</v>
      </c>
      <c r="C101" s="184">
        <v>0</v>
      </c>
      <c r="D101" s="184">
        <v>3</v>
      </c>
      <c r="E101" s="184">
        <v>0</v>
      </c>
      <c r="F101" s="184">
        <v>0</v>
      </c>
      <c r="G101" s="184">
        <v>0</v>
      </c>
      <c r="H101" s="184">
        <v>0</v>
      </c>
      <c r="I101" s="184">
        <v>0</v>
      </c>
      <c r="J101" s="184">
        <v>0</v>
      </c>
      <c r="K101" s="184">
        <v>0</v>
      </c>
      <c r="L101" s="184">
        <v>0</v>
      </c>
      <c r="M101" s="654" t="s">
        <v>24</v>
      </c>
      <c r="N101" s="669" t="s">
        <v>125</v>
      </c>
      <c r="O101" s="642">
        <v>0</v>
      </c>
      <c r="P101" s="184">
        <v>0</v>
      </c>
      <c r="Q101" s="184">
        <v>0</v>
      </c>
      <c r="R101" s="184">
        <v>0</v>
      </c>
      <c r="S101" s="184">
        <v>1</v>
      </c>
      <c r="T101" s="184">
        <v>0</v>
      </c>
      <c r="U101" s="184">
        <v>0</v>
      </c>
      <c r="V101" s="184">
        <v>2</v>
      </c>
      <c r="W101" s="184">
        <v>0</v>
      </c>
      <c r="X101" s="184">
        <v>0</v>
      </c>
      <c r="Y101" s="184">
        <v>0</v>
      </c>
      <c r="Z101" s="184">
        <v>0</v>
      </c>
      <c r="AA101" s="184">
        <v>0</v>
      </c>
      <c r="AB101" s="184">
        <v>0</v>
      </c>
      <c r="AC101" s="185">
        <v>38.4</v>
      </c>
      <c r="AD101" s="185" t="s">
        <v>24</v>
      </c>
      <c r="AE101" s="184">
        <v>0</v>
      </c>
      <c r="AF101" s="185">
        <v>0</v>
      </c>
      <c r="AG101" s="184">
        <v>0</v>
      </c>
      <c r="AH101" s="185">
        <v>0</v>
      </c>
      <c r="AI101" s="184">
        <v>0</v>
      </c>
      <c r="AJ101" s="643">
        <v>0</v>
      </c>
      <c r="AP101" s="401">
        <f t="shared" si="116"/>
        <v>2</v>
      </c>
      <c r="AR101" s="56">
        <f t="shared" si="117"/>
        <v>0.93749999999999878</v>
      </c>
      <c r="AS101" s="67">
        <f>SUM(C105,C212,C319,C426,C533,C640,C747)/config!$AC$13</f>
        <v>0</v>
      </c>
      <c r="AT101" s="68">
        <f>SUM(D105:E105,D212:E212,D319:E319,D426:E426,D533:E533,D640:E640,D747:E747)/config!$AC$13</f>
        <v>2.5714285714285716</v>
      </c>
      <c r="AU101" s="68">
        <f>SUM(F105:G105,F212:G212,F319:G319,F426:G426,F533:G533,F640:G640,F747:G747)/config!$AC$13</f>
        <v>0.2857142857142857</v>
      </c>
      <c r="AV101" s="68">
        <f>SUM(H105,H212,H319,H426,H533,H640,H747)/config!$AC$13</f>
        <v>0</v>
      </c>
      <c r="AW101" s="69">
        <f>SUM(I105:L105,I212:L212,I319:L319,I426:L426,I533:L533,I640:L640,I747:L747)/config!$AC$13</f>
        <v>0</v>
      </c>
      <c r="AY101" s="56">
        <f t="shared" si="118"/>
        <v>0.93749999999999878</v>
      </c>
      <c r="AZ101" s="70">
        <f t="shared" si="85"/>
        <v>4</v>
      </c>
      <c r="BA101" s="71">
        <f t="shared" si="86"/>
        <v>1</v>
      </c>
      <c r="BB101" s="71">
        <f t="shared" si="87"/>
        <v>3</v>
      </c>
      <c r="BC101" s="71">
        <f t="shared" si="88"/>
        <v>3</v>
      </c>
      <c r="BD101" s="71">
        <f t="shared" si="89"/>
        <v>4</v>
      </c>
      <c r="BE101" s="71">
        <f t="shared" si="90"/>
        <v>0</v>
      </c>
      <c r="BF101" s="72">
        <f t="shared" si="91"/>
        <v>5</v>
      </c>
      <c r="BG101" s="45"/>
      <c r="BH101" s="56">
        <f t="shared" si="92"/>
        <v>0.93749999999999878</v>
      </c>
      <c r="BI101" s="67">
        <f t="shared" si="93"/>
        <v>33.9</v>
      </c>
      <c r="BJ101" s="68">
        <f t="shared" si="94"/>
        <v>41.2</v>
      </c>
      <c r="BK101" s="68">
        <f t="shared" si="95"/>
        <v>43.2</v>
      </c>
      <c r="BL101" s="68">
        <f t="shared" si="96"/>
        <v>42.4</v>
      </c>
      <c r="BM101" s="68">
        <f t="shared" si="97"/>
        <v>39</v>
      </c>
      <c r="BN101" s="68" t="str">
        <f t="shared" si="98"/>
        <v/>
      </c>
      <c r="BO101" s="69">
        <f t="shared" si="99"/>
        <v>45.9</v>
      </c>
      <c r="BP101" s="63"/>
      <c r="BQ101" s="64">
        <f t="shared" si="100"/>
        <v>0.93749999999999878</v>
      </c>
      <c r="BR101" s="67" t="str">
        <f t="shared" si="101"/>
        <v/>
      </c>
      <c r="BS101" s="68" t="str">
        <f t="shared" si="102"/>
        <v/>
      </c>
      <c r="BT101" s="68" t="str">
        <f t="shared" si="103"/>
        <v/>
      </c>
      <c r="BU101" s="68" t="str">
        <f t="shared" si="104"/>
        <v/>
      </c>
      <c r="BV101" s="68" t="str">
        <f t="shared" si="105"/>
        <v/>
      </c>
      <c r="BW101" s="68" t="str">
        <f t="shared" si="106"/>
        <v/>
      </c>
      <c r="BX101" s="69" t="str">
        <f t="shared" si="107"/>
        <v/>
      </c>
      <c r="BY101" s="65"/>
      <c r="BZ101" s="66">
        <f t="shared" si="119"/>
        <v>40.93333333333333</v>
      </c>
      <c r="CA101" s="414" t="e">
        <f t="shared" si="108"/>
        <v>#N/A</v>
      </c>
      <c r="CB101" s="416">
        <f t="shared" si="122"/>
        <v>60</v>
      </c>
      <c r="CC101" s="65"/>
      <c r="CD101" s="67">
        <f t="shared" si="109"/>
        <v>0</v>
      </c>
      <c r="CE101" s="68">
        <f t="shared" si="110"/>
        <v>0</v>
      </c>
      <c r="CF101" s="68">
        <f t="shared" si="111"/>
        <v>0</v>
      </c>
      <c r="CG101" s="68">
        <f t="shared" si="112"/>
        <v>0</v>
      </c>
      <c r="CH101" s="68">
        <f t="shared" si="113"/>
        <v>0</v>
      </c>
      <c r="CI101" s="68">
        <f t="shared" si="114"/>
        <v>0</v>
      </c>
      <c r="CJ101" s="69">
        <f t="shared" si="115"/>
        <v>0</v>
      </c>
      <c r="CM101" s="67">
        <f t="shared" si="120"/>
        <v>135.6</v>
      </c>
      <c r="CN101" s="68">
        <f t="shared" si="123"/>
        <v>41.2</v>
      </c>
      <c r="CO101" s="68">
        <f t="shared" si="124"/>
        <v>129.60000000000002</v>
      </c>
      <c r="CP101" s="68">
        <f t="shared" si="125"/>
        <v>127.19999999999999</v>
      </c>
      <c r="CQ101" s="68">
        <f t="shared" si="126"/>
        <v>156</v>
      </c>
      <c r="CR101" s="68" t="str">
        <f t="shared" si="127"/>
        <v/>
      </c>
      <c r="CS101" s="69">
        <f t="shared" si="128"/>
        <v>229.5</v>
      </c>
      <c r="CU101" s="511">
        <f>SUM(SUMIF($AZ$8:$BF$8, {"NON";"NEUT"}, AZ101:BF101))/config!$AC$16</f>
        <v>3.2</v>
      </c>
      <c r="CV101" s="512">
        <f t="shared" si="121"/>
        <v>0.93749999999999878</v>
      </c>
      <c r="CY101" s="67">
        <f>SUM(C105*$CY$108, C212*$CY$109, C319*$CY$110, C426*$CY$111, C533*$CY$112, C640*$CY$113, C747*$CY$114)/config!$AC$16</f>
        <v>0</v>
      </c>
      <c r="CZ101" s="68">
        <f>SUM(SUM(D105:E105)*$CY$108, SUM(D212:E212)*$CY$109, SUM(D319:E319)*$CY$110, SUM(D426:E426)*$CY$111, SUM(D533:E533)*$CY$112, SUM(D640:E640)*$CY$113, SUM(D747:E747)*$CY$114)/config!$AC$16</f>
        <v>2.8</v>
      </c>
      <c r="DA101" s="68">
        <f>SUM(SUM(F105:G105)*$CY$108, SUM(F212:G212)*$CY$109, SUM(F319:G319)*$CY$110, SUM(F426:G426)*$CY$111, SUM(F533:G533)*$CY$112, SUM(F640:G640)*$CY$113, SUM(F747:G747)*$CY$114)/config!$AC$16</f>
        <v>0.4</v>
      </c>
      <c r="DB101" s="68">
        <f>SUM(H105*$CY$108, H212*$CY$109, H319*$CY$110, H426*$CY$111, H533*$CY$112, H640*$CY$113, H747*$CY$114)/config!$AC$16</f>
        <v>0</v>
      </c>
      <c r="DC101" s="69">
        <f>SUM(SUM(I105:L105)*$CY$108, SUM(I212:L212)*$CY$109, SUM(I319:L319)*$CY$110, SUM(I426:L426)*$CY$111, SUM(I533:L533)*$CY$112, SUM(I640:L640)*$CY$113, SUM(I747:L747)*$CY$114)/config!$AC$16</f>
        <v>0</v>
      </c>
    </row>
    <row r="102" spans="1:107" ht="15" x14ac:dyDescent="0.25">
      <c r="A102" s="190" t="s">
        <v>126</v>
      </c>
      <c r="B102" s="642">
        <v>0</v>
      </c>
      <c r="C102" s="184">
        <v>0</v>
      </c>
      <c r="D102" s="184">
        <v>0</v>
      </c>
      <c r="E102" s="184">
        <v>0</v>
      </c>
      <c r="F102" s="184">
        <v>0</v>
      </c>
      <c r="G102" s="184">
        <v>0</v>
      </c>
      <c r="H102" s="184">
        <v>0</v>
      </c>
      <c r="I102" s="184">
        <v>0</v>
      </c>
      <c r="J102" s="184">
        <v>0</v>
      </c>
      <c r="K102" s="184">
        <v>0</v>
      </c>
      <c r="L102" s="184">
        <v>0</v>
      </c>
      <c r="M102" s="654" t="s">
        <v>24</v>
      </c>
      <c r="N102" s="669" t="s">
        <v>126</v>
      </c>
      <c r="O102" s="642">
        <v>0</v>
      </c>
      <c r="P102" s="184">
        <v>0</v>
      </c>
      <c r="Q102" s="184">
        <v>0</v>
      </c>
      <c r="R102" s="184">
        <v>0</v>
      </c>
      <c r="S102" s="184">
        <v>0</v>
      </c>
      <c r="T102" s="184">
        <v>0</v>
      </c>
      <c r="U102" s="184">
        <v>0</v>
      </c>
      <c r="V102" s="184">
        <v>0</v>
      </c>
      <c r="W102" s="184">
        <v>0</v>
      </c>
      <c r="X102" s="184">
        <v>0</v>
      </c>
      <c r="Y102" s="184">
        <v>0</v>
      </c>
      <c r="Z102" s="184">
        <v>0</v>
      </c>
      <c r="AA102" s="184">
        <v>0</v>
      </c>
      <c r="AB102" s="184">
        <v>0</v>
      </c>
      <c r="AC102" s="185" t="s">
        <v>24</v>
      </c>
      <c r="AD102" s="185" t="s">
        <v>24</v>
      </c>
      <c r="AE102" s="184">
        <v>0</v>
      </c>
      <c r="AF102" s="185">
        <v>0</v>
      </c>
      <c r="AG102" s="184">
        <v>0</v>
      </c>
      <c r="AH102" s="185">
        <v>0</v>
      </c>
      <c r="AI102" s="184">
        <v>0</v>
      </c>
      <c r="AJ102" s="643">
        <v>0</v>
      </c>
      <c r="AP102" s="401">
        <f t="shared" si="116"/>
        <v>1</v>
      </c>
      <c r="AR102" s="56">
        <f t="shared" si="117"/>
        <v>0.94791666666666541</v>
      </c>
      <c r="AS102" s="67">
        <f>SUM(C106,C213,C320,C427,C534,C641,C748)/config!$AC$13</f>
        <v>0</v>
      </c>
      <c r="AT102" s="68">
        <f>SUM(D106:E106,D213:E213,D320:E320,D427:E427,D534:E534,D641:E641,D748:E748)/config!$AC$13</f>
        <v>2.1428571428571428</v>
      </c>
      <c r="AU102" s="68">
        <f>SUM(F106:G106,F213:G213,F320:G320,F427:G427,F534:G534,F641:G641,F748:G748)/config!$AC$13</f>
        <v>0.14285714285714285</v>
      </c>
      <c r="AV102" s="68">
        <f>SUM(H106,H213,H320,H427,H534,H641,H748)/config!$AC$13</f>
        <v>0</v>
      </c>
      <c r="AW102" s="69">
        <f>SUM(I106:L106,I213:L213,I320:L320,I427:L427,I534:L534,I641:L641,I748:L748)/config!$AC$13</f>
        <v>0</v>
      </c>
      <c r="AY102" s="56">
        <f t="shared" si="118"/>
        <v>0.94791666666666541</v>
      </c>
      <c r="AZ102" s="70">
        <f t="shared" si="85"/>
        <v>3</v>
      </c>
      <c r="BA102" s="71">
        <f t="shared" si="86"/>
        <v>1</v>
      </c>
      <c r="BB102" s="71">
        <f t="shared" si="87"/>
        <v>4</v>
      </c>
      <c r="BC102" s="71">
        <f t="shared" si="88"/>
        <v>3</v>
      </c>
      <c r="BD102" s="71">
        <f t="shared" si="89"/>
        <v>1</v>
      </c>
      <c r="BE102" s="71">
        <f t="shared" si="90"/>
        <v>0</v>
      </c>
      <c r="BF102" s="72">
        <f t="shared" si="91"/>
        <v>4</v>
      </c>
      <c r="BG102" s="45"/>
      <c r="BH102" s="56">
        <f t="shared" si="92"/>
        <v>0.94791666666666541</v>
      </c>
      <c r="BI102" s="67">
        <f t="shared" si="93"/>
        <v>49.5</v>
      </c>
      <c r="BJ102" s="68">
        <f t="shared" si="94"/>
        <v>45.9</v>
      </c>
      <c r="BK102" s="68">
        <f t="shared" si="95"/>
        <v>50</v>
      </c>
      <c r="BL102" s="68">
        <f t="shared" si="96"/>
        <v>41</v>
      </c>
      <c r="BM102" s="68">
        <f t="shared" si="97"/>
        <v>34.700000000000003</v>
      </c>
      <c r="BN102" s="68" t="str">
        <f t="shared" si="98"/>
        <v/>
      </c>
      <c r="BO102" s="69">
        <f t="shared" si="99"/>
        <v>47.2</v>
      </c>
      <c r="BP102" s="63"/>
      <c r="BQ102" s="64">
        <f t="shared" si="100"/>
        <v>0.94791666666666541</v>
      </c>
      <c r="BR102" s="67" t="str">
        <f t="shared" si="101"/>
        <v/>
      </c>
      <c r="BS102" s="68" t="str">
        <f t="shared" si="102"/>
        <v/>
      </c>
      <c r="BT102" s="68" t="str">
        <f t="shared" si="103"/>
        <v/>
      </c>
      <c r="BU102" s="68" t="str">
        <f t="shared" si="104"/>
        <v/>
      </c>
      <c r="BV102" s="68" t="str">
        <f t="shared" si="105"/>
        <v/>
      </c>
      <c r="BW102" s="68" t="str">
        <f t="shared" si="106"/>
        <v/>
      </c>
      <c r="BX102" s="69" t="str">
        <f t="shared" si="107"/>
        <v/>
      </c>
      <c r="BY102" s="65"/>
      <c r="BZ102" s="66">
        <f t="shared" si="119"/>
        <v>44.716666666666669</v>
      </c>
      <c r="CA102" s="414" t="e">
        <f t="shared" si="108"/>
        <v>#N/A</v>
      </c>
      <c r="CB102" s="416">
        <f t="shared" si="122"/>
        <v>60</v>
      </c>
      <c r="CC102" s="65"/>
      <c r="CD102" s="67">
        <f t="shared" si="109"/>
        <v>1</v>
      </c>
      <c r="CE102" s="68">
        <f t="shared" si="110"/>
        <v>0</v>
      </c>
      <c r="CF102" s="68">
        <f t="shared" si="111"/>
        <v>1</v>
      </c>
      <c r="CG102" s="68">
        <f t="shared" si="112"/>
        <v>0</v>
      </c>
      <c r="CH102" s="68">
        <f t="shared" si="113"/>
        <v>0</v>
      </c>
      <c r="CI102" s="68">
        <f t="shared" si="114"/>
        <v>0</v>
      </c>
      <c r="CJ102" s="69">
        <f t="shared" si="115"/>
        <v>0</v>
      </c>
      <c r="CM102" s="67">
        <f t="shared" si="120"/>
        <v>148.5</v>
      </c>
      <c r="CN102" s="68">
        <f t="shared" si="123"/>
        <v>45.9</v>
      </c>
      <c r="CO102" s="68">
        <f t="shared" si="124"/>
        <v>200</v>
      </c>
      <c r="CP102" s="68">
        <f t="shared" si="125"/>
        <v>123</v>
      </c>
      <c r="CQ102" s="68">
        <f t="shared" si="126"/>
        <v>34.700000000000003</v>
      </c>
      <c r="CR102" s="68" t="str">
        <f t="shared" si="127"/>
        <v/>
      </c>
      <c r="CS102" s="69">
        <f t="shared" si="128"/>
        <v>188.8</v>
      </c>
      <c r="CU102" s="511">
        <f>SUM(SUMIF($AZ$8:$BF$8, {"NON";"NEUT"}, AZ102:BF102))/config!$AC$16</f>
        <v>3</v>
      </c>
      <c r="CV102" s="512">
        <f t="shared" si="121"/>
        <v>0.94791666666666541</v>
      </c>
      <c r="CY102" s="67">
        <f>SUM(C106*$CY$108, C213*$CY$109, C320*$CY$110, C427*$CY$111, C534*$CY$112, C641*$CY$113, C748*$CY$114)/config!$AC$16</f>
        <v>0</v>
      </c>
      <c r="CZ102" s="68">
        <f>SUM(SUM(D106:E106)*$CY$108, SUM(D213:E213)*$CY$109, SUM(D320:E320)*$CY$110, SUM(D427:E427)*$CY$111, SUM(D534:E534)*$CY$112, SUM(D641:E641)*$CY$113, SUM(D748:E748)*$CY$114)/config!$AC$16</f>
        <v>2.8</v>
      </c>
      <c r="DA102" s="68">
        <f>SUM(SUM(F106:G106)*$CY$108, SUM(F213:G213)*$CY$109, SUM(F320:G320)*$CY$110, SUM(F427:G427)*$CY$111, SUM(F534:G534)*$CY$112, SUM(F641:G641)*$CY$113, SUM(F748:G748)*$CY$114)/config!$AC$16</f>
        <v>0.2</v>
      </c>
      <c r="DB102" s="68">
        <f>SUM(H106*$CY$108, H213*$CY$109, H320*$CY$110, H427*$CY$111, H534*$CY$112, H641*$CY$113, H748*$CY$114)/config!$AC$16</f>
        <v>0</v>
      </c>
      <c r="DC102" s="69">
        <f>SUM(SUM(I106:L106)*$CY$108, SUM(I213:L213)*$CY$109, SUM(I320:L320)*$CY$110, SUM(I427:L427)*$CY$111, SUM(I534:L534)*$CY$112, SUM(I641:L641)*$CY$113, SUM(I748:L748)*$CY$114)/config!$AC$16</f>
        <v>0</v>
      </c>
    </row>
    <row r="103" spans="1:107" ht="15" x14ac:dyDescent="0.25">
      <c r="A103" s="190" t="s">
        <v>76</v>
      </c>
      <c r="B103" s="642">
        <v>3</v>
      </c>
      <c r="C103" s="184">
        <v>0</v>
      </c>
      <c r="D103" s="184">
        <v>3</v>
      </c>
      <c r="E103" s="184">
        <v>0</v>
      </c>
      <c r="F103" s="184">
        <v>0</v>
      </c>
      <c r="G103" s="184">
        <v>0</v>
      </c>
      <c r="H103" s="184">
        <v>0</v>
      </c>
      <c r="I103" s="184">
        <v>0</v>
      </c>
      <c r="J103" s="184">
        <v>0</v>
      </c>
      <c r="K103" s="184">
        <v>0</v>
      </c>
      <c r="L103" s="184">
        <v>0</v>
      </c>
      <c r="M103" s="654" t="s">
        <v>24</v>
      </c>
      <c r="N103" s="669" t="s">
        <v>76</v>
      </c>
      <c r="O103" s="642">
        <v>0</v>
      </c>
      <c r="P103" s="184">
        <v>0</v>
      </c>
      <c r="Q103" s="184">
        <v>0</v>
      </c>
      <c r="R103" s="184">
        <v>0</v>
      </c>
      <c r="S103" s="184">
        <v>0</v>
      </c>
      <c r="T103" s="184">
        <v>0</v>
      </c>
      <c r="U103" s="184">
        <v>0</v>
      </c>
      <c r="V103" s="184">
        <v>0</v>
      </c>
      <c r="W103" s="184">
        <v>2</v>
      </c>
      <c r="X103" s="184">
        <v>1</v>
      </c>
      <c r="Y103" s="184">
        <v>0</v>
      </c>
      <c r="Z103" s="184">
        <v>0</v>
      </c>
      <c r="AA103" s="184">
        <v>0</v>
      </c>
      <c r="AB103" s="184">
        <v>0</v>
      </c>
      <c r="AC103" s="185">
        <v>48.7</v>
      </c>
      <c r="AD103" s="185" t="s">
        <v>24</v>
      </c>
      <c r="AE103" s="184">
        <v>0</v>
      </c>
      <c r="AF103" s="185">
        <v>0</v>
      </c>
      <c r="AG103" s="184">
        <v>0</v>
      </c>
      <c r="AH103" s="185">
        <v>0</v>
      </c>
      <c r="AI103" s="184">
        <v>0</v>
      </c>
      <c r="AJ103" s="643">
        <v>0</v>
      </c>
      <c r="AP103" s="401">
        <f t="shared" si="116"/>
        <v>0</v>
      </c>
      <c r="AR103" s="56">
        <f t="shared" si="117"/>
        <v>0.95833333333333204</v>
      </c>
      <c r="AS103" s="67">
        <f>SUM(C107,C214,C321,C428,C535,C642,C749)/config!$AC$13</f>
        <v>0</v>
      </c>
      <c r="AT103" s="68">
        <f>SUM(D107:E107,D214:E214,D321:E321,D428:E428,D535:E535,D642:E642,D749:E749)/config!$AC$13</f>
        <v>2.2857142857142856</v>
      </c>
      <c r="AU103" s="68">
        <f>SUM(F107:G107,F214:G214,F321:G321,F428:G428,F535:G535,F642:G642,F749:G749)/config!$AC$13</f>
        <v>0</v>
      </c>
      <c r="AV103" s="68">
        <f>SUM(H107,H214,H321,H428,H535,H642,H749)/config!$AC$13</f>
        <v>0</v>
      </c>
      <c r="AW103" s="69">
        <f>SUM(I107:L107,I214:L214,I321:L321,I428:L428,I535:L535,I642:L642,I749:L749)/config!$AC$13</f>
        <v>0</v>
      </c>
      <c r="AY103" s="56">
        <f t="shared" si="118"/>
        <v>0.95833333333333204</v>
      </c>
      <c r="AZ103" s="70">
        <f t="shared" si="85"/>
        <v>2</v>
      </c>
      <c r="BA103" s="71">
        <f t="shared" si="86"/>
        <v>1</v>
      </c>
      <c r="BB103" s="71">
        <f t="shared" si="87"/>
        <v>0</v>
      </c>
      <c r="BC103" s="71">
        <f t="shared" si="88"/>
        <v>3</v>
      </c>
      <c r="BD103" s="71">
        <f t="shared" si="89"/>
        <v>2</v>
      </c>
      <c r="BE103" s="71">
        <f t="shared" si="90"/>
        <v>1</v>
      </c>
      <c r="BF103" s="72">
        <f t="shared" si="91"/>
        <v>7</v>
      </c>
      <c r="BG103" s="45"/>
      <c r="BH103" s="56">
        <f t="shared" si="92"/>
        <v>0.95833333333333204</v>
      </c>
      <c r="BI103" s="67">
        <f t="shared" si="93"/>
        <v>36.9</v>
      </c>
      <c r="BJ103" s="68">
        <f t="shared" si="94"/>
        <v>45.9</v>
      </c>
      <c r="BK103" s="68" t="str">
        <f t="shared" si="95"/>
        <v/>
      </c>
      <c r="BL103" s="68">
        <f t="shared" si="96"/>
        <v>44</v>
      </c>
      <c r="BM103" s="68">
        <f t="shared" si="97"/>
        <v>43.2</v>
      </c>
      <c r="BN103" s="68">
        <f t="shared" si="98"/>
        <v>50.1</v>
      </c>
      <c r="BO103" s="69">
        <f t="shared" si="99"/>
        <v>37.6</v>
      </c>
      <c r="BP103" s="63"/>
      <c r="BQ103" s="64">
        <f t="shared" si="100"/>
        <v>0.95833333333333204</v>
      </c>
      <c r="BR103" s="67" t="str">
        <f t="shared" si="101"/>
        <v/>
      </c>
      <c r="BS103" s="68" t="str">
        <f t="shared" si="102"/>
        <v/>
      </c>
      <c r="BT103" s="68" t="str">
        <f t="shared" si="103"/>
        <v/>
      </c>
      <c r="BU103" s="68" t="str">
        <f t="shared" si="104"/>
        <v/>
      </c>
      <c r="BV103" s="68" t="str">
        <f t="shared" si="105"/>
        <v/>
      </c>
      <c r="BW103" s="68" t="str">
        <f t="shared" si="106"/>
        <v/>
      </c>
      <c r="BX103" s="69" t="str">
        <f t="shared" si="107"/>
        <v/>
      </c>
      <c r="BY103" s="65"/>
      <c r="BZ103" s="66">
        <f t="shared" si="119"/>
        <v>42.949999999999996</v>
      </c>
      <c r="CA103" s="414" t="e">
        <f t="shared" si="108"/>
        <v>#N/A</v>
      </c>
      <c r="CB103" s="416">
        <f t="shared" si="122"/>
        <v>60</v>
      </c>
      <c r="CC103" s="65"/>
      <c r="CD103" s="67">
        <f t="shared" si="109"/>
        <v>0</v>
      </c>
      <c r="CE103" s="68">
        <f t="shared" si="110"/>
        <v>0</v>
      </c>
      <c r="CF103" s="68">
        <f t="shared" si="111"/>
        <v>0</v>
      </c>
      <c r="CG103" s="68">
        <f t="shared" si="112"/>
        <v>0</v>
      </c>
      <c r="CH103" s="68">
        <f t="shared" si="113"/>
        <v>0</v>
      </c>
      <c r="CI103" s="68">
        <f t="shared" si="114"/>
        <v>0</v>
      </c>
      <c r="CJ103" s="69">
        <f t="shared" si="115"/>
        <v>0</v>
      </c>
      <c r="CM103" s="67">
        <f t="shared" si="120"/>
        <v>73.8</v>
      </c>
      <c r="CN103" s="68">
        <f t="shared" si="123"/>
        <v>45.9</v>
      </c>
      <c r="CO103" s="68" t="str">
        <f t="shared" si="124"/>
        <v/>
      </c>
      <c r="CP103" s="68">
        <f t="shared" si="125"/>
        <v>132</v>
      </c>
      <c r="CQ103" s="68">
        <f t="shared" si="126"/>
        <v>86.4</v>
      </c>
      <c r="CR103" s="68">
        <f t="shared" si="127"/>
        <v>50.1</v>
      </c>
      <c r="CS103" s="69">
        <f t="shared" si="128"/>
        <v>263.2</v>
      </c>
      <c r="CU103" s="511">
        <f>SUM(SUMIF($AZ$8:$BF$8, {"NON";"NEUT"}, AZ103:BF103))/config!$AC$16</f>
        <v>2.6</v>
      </c>
      <c r="CV103" s="512">
        <f t="shared" si="121"/>
        <v>0.95833333333333204</v>
      </c>
      <c r="CY103" s="67">
        <f>SUM(C107*$CY$108, C214*$CY$109, C321*$CY$110, C428*$CY$111, C535*$CY$112, C642*$CY$113, C749*$CY$114)/config!$AC$16</f>
        <v>0</v>
      </c>
      <c r="CZ103" s="68">
        <f>SUM(SUM(D107:E107)*$CY$108, SUM(D214:E214)*$CY$109, SUM(D321:E321)*$CY$110, SUM(D428:E428)*$CY$111, SUM(D535:E535)*$CY$112, SUM(D642:E642)*$CY$113, SUM(D749:E749)*$CY$114)/config!$AC$16</f>
        <v>2.6</v>
      </c>
      <c r="DA103" s="68">
        <f>SUM(SUM(F107:G107)*$CY$108, SUM(F214:G214)*$CY$109, SUM(F321:G321)*$CY$110, SUM(F428:G428)*$CY$111, SUM(F535:G535)*$CY$112, SUM(F642:G642)*$CY$113, SUM(F749:G749)*$CY$114)/config!$AC$16</f>
        <v>0</v>
      </c>
      <c r="DB103" s="68">
        <f>SUM(H107*$CY$108, H214*$CY$109, H321*$CY$110, H428*$CY$111, H535*$CY$112, H642*$CY$113, H749*$CY$114)/config!$AC$16</f>
        <v>0</v>
      </c>
      <c r="DC103" s="69">
        <f>SUM(SUM(I107:L107)*$CY$108, SUM(I214:L214)*$CY$109, SUM(I321:L321)*$CY$110, SUM(I428:L428)*$CY$111, SUM(I535:L535)*$CY$112, SUM(I642:L642)*$CY$113, SUM(I749:L749)*$CY$114)/config!$AC$16</f>
        <v>0</v>
      </c>
    </row>
    <row r="104" spans="1:107" ht="15" x14ac:dyDescent="0.25">
      <c r="A104" s="190" t="s">
        <v>127</v>
      </c>
      <c r="B104" s="642">
        <v>1</v>
      </c>
      <c r="C104" s="184">
        <v>0</v>
      </c>
      <c r="D104" s="184">
        <v>1</v>
      </c>
      <c r="E104" s="184">
        <v>0</v>
      </c>
      <c r="F104" s="184">
        <v>0</v>
      </c>
      <c r="G104" s="184">
        <v>0</v>
      </c>
      <c r="H104" s="184">
        <v>0</v>
      </c>
      <c r="I104" s="184">
        <v>0</v>
      </c>
      <c r="J104" s="184">
        <v>0</v>
      </c>
      <c r="K104" s="184">
        <v>0</v>
      </c>
      <c r="L104" s="184">
        <v>0</v>
      </c>
      <c r="M104" s="654" t="s">
        <v>24</v>
      </c>
      <c r="N104" s="669" t="s">
        <v>127</v>
      </c>
      <c r="O104" s="642">
        <v>0</v>
      </c>
      <c r="P104" s="184">
        <v>0</v>
      </c>
      <c r="Q104" s="184">
        <v>0</v>
      </c>
      <c r="R104" s="184">
        <v>0</v>
      </c>
      <c r="S104" s="184">
        <v>0</v>
      </c>
      <c r="T104" s="184">
        <v>0</v>
      </c>
      <c r="U104" s="184">
        <v>0</v>
      </c>
      <c r="V104" s="184">
        <v>1</v>
      </c>
      <c r="W104" s="184">
        <v>0</v>
      </c>
      <c r="X104" s="184">
        <v>0</v>
      </c>
      <c r="Y104" s="184">
        <v>0</v>
      </c>
      <c r="Z104" s="184">
        <v>0</v>
      </c>
      <c r="AA104" s="184">
        <v>0</v>
      </c>
      <c r="AB104" s="184">
        <v>0</v>
      </c>
      <c r="AC104" s="185">
        <v>41.9</v>
      </c>
      <c r="AD104" s="185" t="s">
        <v>24</v>
      </c>
      <c r="AE104" s="184">
        <v>0</v>
      </c>
      <c r="AF104" s="185">
        <v>0</v>
      </c>
      <c r="AG104" s="184">
        <v>0</v>
      </c>
      <c r="AH104" s="185">
        <v>0</v>
      </c>
      <c r="AI104" s="184">
        <v>0</v>
      </c>
      <c r="AJ104" s="643">
        <v>0</v>
      </c>
      <c r="AP104" s="401">
        <f t="shared" si="116"/>
        <v>0</v>
      </c>
      <c r="AR104" s="56">
        <f t="shared" si="117"/>
        <v>0.96874999999999867</v>
      </c>
      <c r="AS104" s="67">
        <f>SUM(C108,C215,C322,C429,C536,C643,C750)/config!$AC$13</f>
        <v>0</v>
      </c>
      <c r="AT104" s="68">
        <f>SUM(D108:E108,D215:E215,D322:E322,D429:E429,D536:E536,D643:E643,D750:E750)/config!$AC$13</f>
        <v>1.1428571428571428</v>
      </c>
      <c r="AU104" s="68">
        <f>SUM(F108:G108,F215:G215,F322:G322,F429:G429,F536:G536,F643:G643,F750:G750)/config!$AC$13</f>
        <v>0</v>
      </c>
      <c r="AV104" s="68">
        <f>SUM(H108,H215,H322,H429,H536,H643,H750)/config!$AC$13</f>
        <v>0</v>
      </c>
      <c r="AW104" s="69">
        <f>SUM(I108:L108,I215:L215,I322:L322,I429:L429,I536:L536,I643:L643,I750:L750)/config!$AC$13</f>
        <v>0</v>
      </c>
      <c r="AY104" s="56">
        <f t="shared" si="118"/>
        <v>0.96874999999999867</v>
      </c>
      <c r="AZ104" s="70">
        <f t="shared" si="85"/>
        <v>0</v>
      </c>
      <c r="BA104" s="71">
        <f t="shared" si="86"/>
        <v>1</v>
      </c>
      <c r="BB104" s="71">
        <f t="shared" si="87"/>
        <v>0</v>
      </c>
      <c r="BC104" s="71">
        <f t="shared" si="88"/>
        <v>2</v>
      </c>
      <c r="BD104" s="71">
        <f t="shared" si="89"/>
        <v>5</v>
      </c>
      <c r="BE104" s="71">
        <f t="shared" si="90"/>
        <v>0</v>
      </c>
      <c r="BF104" s="72">
        <f t="shared" si="91"/>
        <v>0</v>
      </c>
      <c r="BG104" s="45"/>
      <c r="BH104" s="56">
        <f t="shared" si="92"/>
        <v>0.96874999999999867</v>
      </c>
      <c r="BI104" s="67" t="str">
        <f t="shared" si="93"/>
        <v/>
      </c>
      <c r="BJ104" s="68">
        <f t="shared" si="94"/>
        <v>42</v>
      </c>
      <c r="BK104" s="68" t="str">
        <f t="shared" si="95"/>
        <v/>
      </c>
      <c r="BL104" s="68">
        <f t="shared" si="96"/>
        <v>45.4</v>
      </c>
      <c r="BM104" s="68">
        <f t="shared" si="97"/>
        <v>42.6</v>
      </c>
      <c r="BN104" s="68" t="str">
        <f t="shared" si="98"/>
        <v/>
      </c>
      <c r="BO104" s="69" t="str">
        <f t="shared" si="99"/>
        <v/>
      </c>
      <c r="BP104" s="63"/>
      <c r="BQ104" s="64">
        <f t="shared" si="100"/>
        <v>0.96874999999999867</v>
      </c>
      <c r="BR104" s="67" t="str">
        <f t="shared" si="101"/>
        <v/>
      </c>
      <c r="BS104" s="68" t="str">
        <f t="shared" si="102"/>
        <v/>
      </c>
      <c r="BT104" s="68" t="str">
        <f t="shared" si="103"/>
        <v/>
      </c>
      <c r="BU104" s="68" t="str">
        <f t="shared" si="104"/>
        <v/>
      </c>
      <c r="BV104" s="68" t="str">
        <f t="shared" si="105"/>
        <v/>
      </c>
      <c r="BW104" s="68" t="str">
        <f t="shared" si="106"/>
        <v/>
      </c>
      <c r="BX104" s="69" t="str">
        <f t="shared" si="107"/>
        <v/>
      </c>
      <c r="BY104" s="65"/>
      <c r="BZ104" s="66">
        <f t="shared" si="119"/>
        <v>43.333333333333336</v>
      </c>
      <c r="CA104" s="414" t="e">
        <f t="shared" si="108"/>
        <v>#N/A</v>
      </c>
      <c r="CB104" s="416">
        <f t="shared" si="122"/>
        <v>60</v>
      </c>
      <c r="CC104" s="65"/>
      <c r="CD104" s="67">
        <f t="shared" si="109"/>
        <v>0</v>
      </c>
      <c r="CE104" s="68">
        <f t="shared" si="110"/>
        <v>0</v>
      </c>
      <c r="CF104" s="68">
        <f t="shared" si="111"/>
        <v>0</v>
      </c>
      <c r="CG104" s="68">
        <f t="shared" si="112"/>
        <v>0</v>
      </c>
      <c r="CH104" s="68">
        <f t="shared" si="113"/>
        <v>0</v>
      </c>
      <c r="CI104" s="68">
        <f t="shared" si="114"/>
        <v>0</v>
      </c>
      <c r="CJ104" s="69">
        <f t="shared" si="115"/>
        <v>0</v>
      </c>
      <c r="CM104" s="67" t="str">
        <f t="shared" si="120"/>
        <v/>
      </c>
      <c r="CN104" s="68">
        <f t="shared" si="123"/>
        <v>42</v>
      </c>
      <c r="CO104" s="68" t="str">
        <f t="shared" si="124"/>
        <v/>
      </c>
      <c r="CP104" s="68">
        <f t="shared" si="125"/>
        <v>90.8</v>
      </c>
      <c r="CQ104" s="68">
        <f t="shared" si="126"/>
        <v>213</v>
      </c>
      <c r="CR104" s="68" t="str">
        <f t="shared" si="127"/>
        <v/>
      </c>
      <c r="CS104" s="69" t="str">
        <f t="shared" si="128"/>
        <v/>
      </c>
      <c r="CU104" s="511">
        <f>SUM(SUMIF($AZ$8:$BF$8, {"NON";"NEUT"}, AZ104:BF104))/config!$AC$16</f>
        <v>0.6</v>
      </c>
      <c r="CV104" s="512">
        <f t="shared" si="121"/>
        <v>0.96874999999999867</v>
      </c>
      <c r="CY104" s="67">
        <f>SUM(C108*$CY$108, C215*$CY$109, C322*$CY$110, C429*$CY$111, C536*$CY$112, C643*$CY$113, C750*$CY$114)/config!$AC$16</f>
        <v>0</v>
      </c>
      <c r="CZ104" s="68">
        <f>SUM(SUM(D108:E108)*$CY$108, SUM(D215:E215)*$CY$109, SUM(D322:E322)*$CY$110, SUM(D429:E429)*$CY$111, SUM(D536:E536)*$CY$112, SUM(D643:E643)*$CY$113, SUM(D750:E750)*$CY$114)/config!$AC$16</f>
        <v>0.6</v>
      </c>
      <c r="DA104" s="68">
        <f>SUM(SUM(F108:G108)*$CY$108, SUM(F215:G215)*$CY$109, SUM(F322:G322)*$CY$110, SUM(F429:G429)*$CY$111, SUM(F536:G536)*$CY$112, SUM(F643:G643)*$CY$113, SUM(F750:G750)*$CY$114)/config!$AC$16</f>
        <v>0</v>
      </c>
      <c r="DB104" s="68">
        <f>SUM(H108*$CY$108, H215*$CY$109, H322*$CY$110, H429*$CY$111, H536*$CY$112, H643*$CY$113, H750*$CY$114)/config!$AC$16</f>
        <v>0</v>
      </c>
      <c r="DC104" s="69">
        <f>SUM(SUM(I108:L108)*$CY$108, SUM(I215:L215)*$CY$109, SUM(I322:L322)*$CY$110, SUM(I429:L429)*$CY$111, SUM(I536:L536)*$CY$112, SUM(I643:L643)*$CY$113, SUM(I750:L750)*$CY$114)/config!$AC$16</f>
        <v>0</v>
      </c>
    </row>
    <row r="105" spans="1:107" ht="15" x14ac:dyDescent="0.25">
      <c r="A105" s="190" t="s">
        <v>128</v>
      </c>
      <c r="B105" s="642">
        <v>4</v>
      </c>
      <c r="C105" s="184">
        <v>0</v>
      </c>
      <c r="D105" s="184">
        <v>2</v>
      </c>
      <c r="E105" s="184">
        <v>1</v>
      </c>
      <c r="F105" s="184">
        <v>1</v>
      </c>
      <c r="G105" s="184">
        <v>0</v>
      </c>
      <c r="H105" s="184">
        <v>0</v>
      </c>
      <c r="I105" s="184">
        <v>0</v>
      </c>
      <c r="J105" s="184">
        <v>0</v>
      </c>
      <c r="K105" s="184">
        <v>0</v>
      </c>
      <c r="L105" s="184">
        <v>0</v>
      </c>
      <c r="M105" s="654" t="s">
        <v>24</v>
      </c>
      <c r="N105" s="669" t="s">
        <v>128</v>
      </c>
      <c r="O105" s="642">
        <v>0</v>
      </c>
      <c r="P105" s="184">
        <v>0</v>
      </c>
      <c r="Q105" s="184">
        <v>0</v>
      </c>
      <c r="R105" s="184">
        <v>0</v>
      </c>
      <c r="S105" s="184">
        <v>0</v>
      </c>
      <c r="T105" s="184">
        <v>3</v>
      </c>
      <c r="U105" s="184">
        <v>1</v>
      </c>
      <c r="V105" s="184">
        <v>0</v>
      </c>
      <c r="W105" s="184">
        <v>0</v>
      </c>
      <c r="X105" s="184">
        <v>0</v>
      </c>
      <c r="Y105" s="184">
        <v>0</v>
      </c>
      <c r="Z105" s="184">
        <v>0</v>
      </c>
      <c r="AA105" s="184">
        <v>0</v>
      </c>
      <c r="AB105" s="184">
        <v>0</v>
      </c>
      <c r="AC105" s="185">
        <v>33.9</v>
      </c>
      <c r="AD105" s="185" t="s">
        <v>24</v>
      </c>
      <c r="AE105" s="184">
        <v>0</v>
      </c>
      <c r="AF105" s="185">
        <v>0</v>
      </c>
      <c r="AG105" s="184">
        <v>0</v>
      </c>
      <c r="AH105" s="185">
        <v>0</v>
      </c>
      <c r="AI105" s="184">
        <v>0</v>
      </c>
      <c r="AJ105" s="643">
        <v>0</v>
      </c>
      <c r="AP105" s="401">
        <f t="shared" si="116"/>
        <v>0</v>
      </c>
      <c r="AR105" s="56">
        <f t="shared" si="117"/>
        <v>0.9791666666666653</v>
      </c>
      <c r="AS105" s="67">
        <f>SUM(C109,C216,C323,C430,C537,C644,C751)/config!$AC$13</f>
        <v>0</v>
      </c>
      <c r="AT105" s="68">
        <f>SUM(D109:E109,D216:E216,D323:E323,D430:E430,D537:E537,D644:E644,D751:E751)/config!$AC$13</f>
        <v>1.8571428571428572</v>
      </c>
      <c r="AU105" s="68">
        <f>SUM(F109:G109,F216:G216,F323:G323,F430:G430,F537:G537,F644:G644,F751:G751)/config!$AC$13</f>
        <v>0</v>
      </c>
      <c r="AV105" s="68">
        <f>SUM(H109,H216,H323,H430,H537,H644,H751)/config!$AC$13</f>
        <v>0</v>
      </c>
      <c r="AW105" s="69">
        <f>SUM(I109:L109,I216:L216,I323:L323,I430:L430,I537:L537,I644:L644,I751:L751)/config!$AC$13</f>
        <v>0</v>
      </c>
      <c r="AY105" s="56">
        <f t="shared" si="118"/>
        <v>0.9791666666666653</v>
      </c>
      <c r="AZ105" s="70">
        <f t="shared" si="85"/>
        <v>1</v>
      </c>
      <c r="BA105" s="71">
        <f t="shared" si="86"/>
        <v>2</v>
      </c>
      <c r="BB105" s="71">
        <f t="shared" si="87"/>
        <v>3</v>
      </c>
      <c r="BC105" s="71">
        <f t="shared" si="88"/>
        <v>4</v>
      </c>
      <c r="BD105" s="71">
        <f t="shared" si="89"/>
        <v>2</v>
      </c>
      <c r="BE105" s="71">
        <f t="shared" si="90"/>
        <v>0</v>
      </c>
      <c r="BF105" s="72">
        <f t="shared" si="91"/>
        <v>1</v>
      </c>
      <c r="BG105" s="45"/>
      <c r="BH105" s="56">
        <f t="shared" si="92"/>
        <v>0.9791666666666653</v>
      </c>
      <c r="BI105" s="67">
        <f t="shared" si="93"/>
        <v>54.7</v>
      </c>
      <c r="BJ105" s="68">
        <f t="shared" si="94"/>
        <v>50.1</v>
      </c>
      <c r="BK105" s="68">
        <f t="shared" si="95"/>
        <v>54</v>
      </c>
      <c r="BL105" s="68">
        <f t="shared" si="96"/>
        <v>47.1</v>
      </c>
      <c r="BM105" s="68">
        <f t="shared" si="97"/>
        <v>37.5</v>
      </c>
      <c r="BN105" s="68" t="str">
        <f t="shared" si="98"/>
        <v/>
      </c>
      <c r="BO105" s="69">
        <f t="shared" si="99"/>
        <v>54.4</v>
      </c>
      <c r="BP105" s="63"/>
      <c r="BQ105" s="64">
        <f t="shared" si="100"/>
        <v>0.9791666666666653</v>
      </c>
      <c r="BR105" s="67" t="str">
        <f t="shared" si="101"/>
        <v/>
      </c>
      <c r="BS105" s="68" t="str">
        <f t="shared" si="102"/>
        <v/>
      </c>
      <c r="BT105" s="68" t="str">
        <f t="shared" si="103"/>
        <v/>
      </c>
      <c r="BU105" s="68" t="str">
        <f t="shared" si="104"/>
        <v/>
      </c>
      <c r="BV105" s="68" t="str">
        <f t="shared" si="105"/>
        <v/>
      </c>
      <c r="BW105" s="68" t="str">
        <f t="shared" si="106"/>
        <v/>
      </c>
      <c r="BX105" s="69" t="str">
        <f t="shared" si="107"/>
        <v/>
      </c>
      <c r="BY105" s="65"/>
      <c r="BZ105" s="66">
        <f t="shared" si="119"/>
        <v>49.633333333333333</v>
      </c>
      <c r="CA105" s="414" t="e">
        <f t="shared" si="108"/>
        <v>#N/A</v>
      </c>
      <c r="CB105" s="416">
        <f t="shared" si="122"/>
        <v>60</v>
      </c>
      <c r="CC105" s="65"/>
      <c r="CD105" s="67">
        <f t="shared" si="109"/>
        <v>0</v>
      </c>
      <c r="CE105" s="68">
        <f t="shared" si="110"/>
        <v>0</v>
      </c>
      <c r="CF105" s="68">
        <f t="shared" si="111"/>
        <v>0</v>
      </c>
      <c r="CG105" s="68">
        <f t="shared" si="112"/>
        <v>0</v>
      </c>
      <c r="CH105" s="68">
        <f t="shared" si="113"/>
        <v>0</v>
      </c>
      <c r="CI105" s="68">
        <f t="shared" si="114"/>
        <v>0</v>
      </c>
      <c r="CJ105" s="69">
        <f t="shared" si="115"/>
        <v>0</v>
      </c>
      <c r="CM105" s="67">
        <f t="shared" si="120"/>
        <v>54.7</v>
      </c>
      <c r="CN105" s="68">
        <f t="shared" si="123"/>
        <v>100.2</v>
      </c>
      <c r="CO105" s="68">
        <f t="shared" si="124"/>
        <v>162</v>
      </c>
      <c r="CP105" s="68">
        <f t="shared" si="125"/>
        <v>188.4</v>
      </c>
      <c r="CQ105" s="68">
        <f t="shared" si="126"/>
        <v>75</v>
      </c>
      <c r="CR105" s="68" t="str">
        <f t="shared" si="127"/>
        <v/>
      </c>
      <c r="CS105" s="69">
        <f t="shared" si="128"/>
        <v>54.4</v>
      </c>
      <c r="CU105" s="511">
        <f>SUM(SUMIF($AZ$8:$BF$8, {"NON";"NEUT"}, AZ105:BF105))/config!$AC$16</f>
        <v>2.2000000000000002</v>
      </c>
      <c r="CV105" s="512">
        <f t="shared" si="121"/>
        <v>0.9791666666666653</v>
      </c>
      <c r="CY105" s="67">
        <f>SUM(C109*$CY$108, C216*$CY$109, C323*$CY$110, C430*$CY$111, C537*$CY$112, C644*$CY$113, C751*$CY$114)/config!$AC$16</f>
        <v>0</v>
      </c>
      <c r="CZ105" s="68">
        <f>SUM(SUM(D109:E109)*$CY$108, SUM(D216:E216)*$CY$109, SUM(D323:E323)*$CY$110, SUM(D430:E430)*$CY$111, SUM(D537:E537)*$CY$112, SUM(D644:E644)*$CY$113, SUM(D751:E751)*$CY$114)/config!$AC$16</f>
        <v>2.2000000000000002</v>
      </c>
      <c r="DA105" s="68">
        <f>SUM(SUM(F109:G109)*$CY$108, SUM(F216:G216)*$CY$109, SUM(F323:G323)*$CY$110, SUM(F430:G430)*$CY$111, SUM(F537:G537)*$CY$112, SUM(F644:G644)*$CY$113, SUM(F751:G751)*$CY$114)/config!$AC$16</f>
        <v>0</v>
      </c>
      <c r="DB105" s="68">
        <f>SUM(H109*$CY$108, H216*$CY$109, H323*$CY$110, H430*$CY$111, H537*$CY$112, H644*$CY$113, H751*$CY$114)/config!$AC$16</f>
        <v>0</v>
      </c>
      <c r="DC105" s="69">
        <f>SUM(SUM(I109:L109)*$CY$108, SUM(I216:L216)*$CY$109, SUM(I323:L323)*$CY$110, SUM(I430:L430)*$CY$111, SUM(I537:L537)*$CY$112, SUM(I644:L644)*$CY$113, SUM(I751:L751)*$CY$114)/config!$AC$16</f>
        <v>0</v>
      </c>
    </row>
    <row r="106" spans="1:107" ht="15.75" thickBot="1" x14ac:dyDescent="0.3">
      <c r="A106" s="190" t="s">
        <v>129</v>
      </c>
      <c r="B106" s="642">
        <v>3</v>
      </c>
      <c r="C106" s="184">
        <v>0</v>
      </c>
      <c r="D106" s="184">
        <v>3</v>
      </c>
      <c r="E106" s="184">
        <v>0</v>
      </c>
      <c r="F106" s="184">
        <v>0</v>
      </c>
      <c r="G106" s="184">
        <v>0</v>
      </c>
      <c r="H106" s="184">
        <v>0</v>
      </c>
      <c r="I106" s="184">
        <v>0</v>
      </c>
      <c r="J106" s="184">
        <v>0</v>
      </c>
      <c r="K106" s="184">
        <v>0</v>
      </c>
      <c r="L106" s="184">
        <v>0</v>
      </c>
      <c r="M106" s="654" t="s">
        <v>24</v>
      </c>
      <c r="N106" s="669" t="s">
        <v>129</v>
      </c>
      <c r="O106" s="642">
        <v>0</v>
      </c>
      <c r="P106" s="184">
        <v>0</v>
      </c>
      <c r="Q106" s="184">
        <v>0</v>
      </c>
      <c r="R106" s="184">
        <v>0</v>
      </c>
      <c r="S106" s="184">
        <v>0</v>
      </c>
      <c r="T106" s="184">
        <v>0</v>
      </c>
      <c r="U106" s="184">
        <v>0</v>
      </c>
      <c r="V106" s="184">
        <v>2</v>
      </c>
      <c r="W106" s="184">
        <v>0</v>
      </c>
      <c r="X106" s="184">
        <v>0</v>
      </c>
      <c r="Y106" s="184">
        <v>1</v>
      </c>
      <c r="Z106" s="184">
        <v>0</v>
      </c>
      <c r="AA106" s="184">
        <v>0</v>
      </c>
      <c r="AB106" s="184">
        <v>0</v>
      </c>
      <c r="AC106" s="185">
        <v>49.5</v>
      </c>
      <c r="AD106" s="185" t="s">
        <v>24</v>
      </c>
      <c r="AE106" s="184">
        <v>1</v>
      </c>
      <c r="AF106" s="185">
        <v>33.333333333333329</v>
      </c>
      <c r="AG106" s="184">
        <v>0</v>
      </c>
      <c r="AH106" s="185">
        <v>0</v>
      </c>
      <c r="AI106" s="184">
        <v>0</v>
      </c>
      <c r="AJ106" s="643">
        <v>0</v>
      </c>
      <c r="AP106" s="402">
        <f t="shared" si="116"/>
        <v>0</v>
      </c>
      <c r="AR106" s="56">
        <f t="shared" si="117"/>
        <v>0.98958333333333193</v>
      </c>
      <c r="AS106" s="85">
        <f>SUM(C110,C217,C324,C431,C538,C645,C752)/config!$AC$13</f>
        <v>0</v>
      </c>
      <c r="AT106" s="86">
        <f>SUM(D110:E110,D217:E217,D324:E324,D431:E431,D538:E538,D645:E645,D752:E752)/config!$AC$13</f>
        <v>1</v>
      </c>
      <c r="AU106" s="86">
        <f>SUM(F110:G110,F217:G217,F324:G324,F431:G431,F538:G538,F645:G645,F752:G752)/config!$AC$13</f>
        <v>0</v>
      </c>
      <c r="AV106" s="86">
        <f>SUM(H110,H217,H324,H431,H538,H645,H752)/config!$AC$13</f>
        <v>0</v>
      </c>
      <c r="AW106" s="87">
        <f>SUM(I110:L110,I217:L217,I324:L324,I431:L431,I538:L538,I645:L645,I752:L752)/config!$AC$13</f>
        <v>0</v>
      </c>
      <c r="AY106" s="56">
        <f t="shared" si="118"/>
        <v>0.98958333333333193</v>
      </c>
      <c r="AZ106" s="88">
        <f>B110</f>
        <v>1</v>
      </c>
      <c r="BA106" s="89">
        <f t="shared" si="86"/>
        <v>0</v>
      </c>
      <c r="BB106" s="89">
        <f t="shared" si="87"/>
        <v>0</v>
      </c>
      <c r="BC106" s="89">
        <f t="shared" si="88"/>
        <v>4</v>
      </c>
      <c r="BD106" s="89">
        <f t="shared" si="89"/>
        <v>1</v>
      </c>
      <c r="BE106" s="89">
        <f t="shared" si="90"/>
        <v>1</v>
      </c>
      <c r="BF106" s="90">
        <f t="shared" si="91"/>
        <v>0</v>
      </c>
      <c r="BG106" s="45"/>
      <c r="BH106" s="56">
        <f t="shared" si="92"/>
        <v>0.98958333333333193</v>
      </c>
      <c r="BI106" s="85">
        <f t="shared" si="93"/>
        <v>40.299999999999997</v>
      </c>
      <c r="BJ106" s="86" t="str">
        <f t="shared" si="94"/>
        <v/>
      </c>
      <c r="BK106" s="86" t="str">
        <f t="shared" si="95"/>
        <v/>
      </c>
      <c r="BL106" s="86">
        <f t="shared" si="96"/>
        <v>44.8</v>
      </c>
      <c r="BM106" s="86">
        <f t="shared" si="97"/>
        <v>36.200000000000003</v>
      </c>
      <c r="BN106" s="86">
        <f t="shared" si="98"/>
        <v>44.2</v>
      </c>
      <c r="BO106" s="87" t="str">
        <f t="shared" si="99"/>
        <v/>
      </c>
      <c r="BP106" s="63"/>
      <c r="BQ106" s="64">
        <f t="shared" si="100"/>
        <v>0.98958333333333193</v>
      </c>
      <c r="BR106" s="85" t="str">
        <f t="shared" si="101"/>
        <v/>
      </c>
      <c r="BS106" s="86" t="str">
        <f t="shared" si="102"/>
        <v/>
      </c>
      <c r="BT106" s="86" t="str">
        <f t="shared" si="103"/>
        <v/>
      </c>
      <c r="BU106" s="86" t="str">
        <f t="shared" si="104"/>
        <v/>
      </c>
      <c r="BV106" s="86" t="str">
        <f t="shared" si="105"/>
        <v/>
      </c>
      <c r="BW106" s="86" t="str">
        <f t="shared" si="106"/>
        <v/>
      </c>
      <c r="BX106" s="87" t="str">
        <f t="shared" si="107"/>
        <v/>
      </c>
      <c r="BY106" s="65"/>
      <c r="BZ106" s="66">
        <f t="shared" si="119"/>
        <v>41.375</v>
      </c>
      <c r="CA106" s="414" t="e">
        <f t="shared" ref="CA106" si="129">IFERROR(SUM(BR106:BX106) / COUNTIF(BR106:BX106, "&gt;0"), NA())</f>
        <v>#N/A</v>
      </c>
      <c r="CB106" s="416">
        <f t="shared" si="122"/>
        <v>60</v>
      </c>
      <c r="CC106" s="65"/>
      <c r="CD106" s="85">
        <f t="shared" si="109"/>
        <v>0</v>
      </c>
      <c r="CE106" s="86">
        <f t="shared" si="110"/>
        <v>0</v>
      </c>
      <c r="CF106" s="86">
        <f t="shared" si="111"/>
        <v>0</v>
      </c>
      <c r="CG106" s="86">
        <f t="shared" si="112"/>
        <v>0</v>
      </c>
      <c r="CH106" s="86">
        <f t="shared" si="113"/>
        <v>0</v>
      </c>
      <c r="CI106" s="86">
        <f t="shared" si="114"/>
        <v>0</v>
      </c>
      <c r="CJ106" s="87">
        <f t="shared" si="115"/>
        <v>0</v>
      </c>
      <c r="CM106" s="85">
        <f t="shared" si="120"/>
        <v>40.299999999999997</v>
      </c>
      <c r="CN106" s="86" t="str">
        <f t="shared" si="123"/>
        <v/>
      </c>
      <c r="CO106" s="86" t="str">
        <f t="shared" si="124"/>
        <v/>
      </c>
      <c r="CP106" s="86">
        <f t="shared" si="125"/>
        <v>179.2</v>
      </c>
      <c r="CQ106" s="86">
        <f t="shared" si="126"/>
        <v>36.200000000000003</v>
      </c>
      <c r="CR106" s="86">
        <f t="shared" si="127"/>
        <v>44.2</v>
      </c>
      <c r="CS106" s="87" t="str">
        <f t="shared" si="128"/>
        <v/>
      </c>
      <c r="CU106" s="513">
        <f>SUM(SUMIF($AZ$8:$BF$8, {"NON";"NEUT"}, AZ106:BF106))/config!$AC$16</f>
        <v>1</v>
      </c>
      <c r="CV106" s="514">
        <f t="shared" si="121"/>
        <v>0.98958333333333193</v>
      </c>
      <c r="CY106" s="85">
        <f>SUM(C110*$CY$108, C217*$CY$109, C324*$CY$110, C431*$CY$111, C538*$CY$112, C645*$CY$113, C752*$CY$114)/config!$AC$16</f>
        <v>0</v>
      </c>
      <c r="CZ106" s="86">
        <f>SUM(SUM(D110:E110)*$CY$108, SUM(D217:E217)*$CY$109, SUM(D324:E324)*$CY$110, SUM(D431:E431)*$CY$111, SUM(D538:E538)*$CY$112, SUM(D645:E645)*$CY$113, SUM(D752:E752)*$CY$114)/config!$AC$16</f>
        <v>1</v>
      </c>
      <c r="DA106" s="86">
        <f>SUM(SUM(F110:G110)*$CY$108, SUM(F217:G217)*$CY$109, SUM(F324:G324)*$CY$110, SUM(F431:G431)*$CY$111, SUM(F538:G538)*$CY$112, SUM(F645:G645)*$CY$113, SUM(F752:G752)*$CY$114)/config!$AC$16</f>
        <v>0</v>
      </c>
      <c r="DB106" s="86">
        <f>SUM(H110*$CY$108, H217*$CY$109, H324*$CY$110, H431*$CY$111, H538*$CY$112, H645*$CY$113, H752*$CY$114)/config!$AC$16</f>
        <v>0</v>
      </c>
      <c r="DC106" s="87">
        <f>SUM(SUM(I110:L110)*$CY$108, SUM(I217:L217)*$CY$109, SUM(I324:L324)*$CY$110, SUM(I431:L431)*$CY$111, SUM(I538:L538)*$CY$112, SUM(I645:L645)*$CY$113, SUM(I752:L752)*$CY$114)/config!$AC$16</f>
        <v>0</v>
      </c>
    </row>
    <row r="107" spans="1:107" ht="15" x14ac:dyDescent="0.25">
      <c r="A107" s="190" t="s">
        <v>78</v>
      </c>
      <c r="B107" s="642">
        <v>2</v>
      </c>
      <c r="C107" s="184">
        <v>0</v>
      </c>
      <c r="D107" s="184">
        <v>2</v>
      </c>
      <c r="E107" s="184">
        <v>0</v>
      </c>
      <c r="F107" s="184">
        <v>0</v>
      </c>
      <c r="G107" s="184">
        <v>0</v>
      </c>
      <c r="H107" s="184">
        <v>0</v>
      </c>
      <c r="I107" s="184">
        <v>0</v>
      </c>
      <c r="J107" s="184">
        <v>0</v>
      </c>
      <c r="K107" s="184">
        <v>0</v>
      </c>
      <c r="L107" s="184">
        <v>0</v>
      </c>
      <c r="M107" s="654" t="s">
        <v>24</v>
      </c>
      <c r="N107" s="669" t="s">
        <v>78</v>
      </c>
      <c r="O107" s="642">
        <v>0</v>
      </c>
      <c r="P107" s="184">
        <v>0</v>
      </c>
      <c r="Q107" s="184">
        <v>0</v>
      </c>
      <c r="R107" s="184">
        <v>0</v>
      </c>
      <c r="S107" s="184">
        <v>0</v>
      </c>
      <c r="T107" s="184">
        <v>1</v>
      </c>
      <c r="U107" s="184">
        <v>1</v>
      </c>
      <c r="V107" s="184">
        <v>0</v>
      </c>
      <c r="W107" s="184">
        <v>0</v>
      </c>
      <c r="X107" s="184">
        <v>0</v>
      </c>
      <c r="Y107" s="184">
        <v>0</v>
      </c>
      <c r="Z107" s="184">
        <v>0</v>
      </c>
      <c r="AA107" s="184">
        <v>0</v>
      </c>
      <c r="AB107" s="184">
        <v>0</v>
      </c>
      <c r="AC107" s="185">
        <v>36.9</v>
      </c>
      <c r="AD107" s="185" t="s">
        <v>24</v>
      </c>
      <c r="AE107" s="184">
        <v>0</v>
      </c>
      <c r="AF107" s="185">
        <v>0</v>
      </c>
      <c r="AG107" s="184">
        <v>0</v>
      </c>
      <c r="AH107" s="185">
        <v>0</v>
      </c>
      <c r="AI107" s="184">
        <v>0</v>
      </c>
      <c r="AJ107" s="643">
        <v>0</v>
      </c>
      <c r="AY107" s="91" t="s">
        <v>234</v>
      </c>
      <c r="AZ107" s="92">
        <f t="shared" ref="AZ107:BE107" si="130">IF(AZ108&lt;&gt;0,COUNTIF(AZ11:AZ106, "&gt;0"),0)</f>
        <v>0</v>
      </c>
      <c r="BA107" s="92">
        <f t="shared" si="130"/>
        <v>0</v>
      </c>
      <c r="BB107" s="92">
        <f t="shared" si="130"/>
        <v>0</v>
      </c>
      <c r="BC107" s="92">
        <f t="shared" si="130"/>
        <v>0</v>
      </c>
      <c r="BD107" s="92">
        <f t="shared" si="130"/>
        <v>0</v>
      </c>
      <c r="BE107" s="92">
        <f t="shared" si="130"/>
        <v>0</v>
      </c>
      <c r="BF107" s="92">
        <f>IF(BF108&lt;&gt;0,COUNTIF(BF11:BF106, "&gt;0"),0)</f>
        <v>0</v>
      </c>
      <c r="BG107" s="93"/>
      <c r="BH107" s="91"/>
      <c r="BI107" s="92"/>
      <c r="BJ107" s="92"/>
      <c r="BK107" s="92"/>
      <c r="BL107" s="92"/>
      <c r="BM107" s="92"/>
      <c r="BN107" s="92"/>
      <c r="BO107" s="92"/>
      <c r="BP107" s="92"/>
      <c r="BQ107" s="91"/>
      <c r="BR107" s="92"/>
      <c r="BS107" s="92"/>
      <c r="BT107" s="92"/>
      <c r="BU107" s="92"/>
      <c r="BV107" s="92"/>
      <c r="BW107" s="92"/>
      <c r="BX107" s="92"/>
    </row>
    <row r="108" spans="1:107" ht="15" x14ac:dyDescent="0.25">
      <c r="A108" s="190" t="s">
        <v>130</v>
      </c>
      <c r="B108" s="642">
        <v>0</v>
      </c>
      <c r="C108" s="184">
        <v>0</v>
      </c>
      <c r="D108" s="184">
        <v>0</v>
      </c>
      <c r="E108" s="184">
        <v>0</v>
      </c>
      <c r="F108" s="184">
        <v>0</v>
      </c>
      <c r="G108" s="184">
        <v>0</v>
      </c>
      <c r="H108" s="184">
        <v>0</v>
      </c>
      <c r="I108" s="184">
        <v>0</v>
      </c>
      <c r="J108" s="184">
        <v>0</v>
      </c>
      <c r="K108" s="184">
        <v>0</v>
      </c>
      <c r="L108" s="184">
        <v>0</v>
      </c>
      <c r="M108" s="654" t="s">
        <v>24</v>
      </c>
      <c r="N108" s="669" t="s">
        <v>130</v>
      </c>
      <c r="O108" s="642">
        <v>0</v>
      </c>
      <c r="P108" s="184">
        <v>0</v>
      </c>
      <c r="Q108" s="184">
        <v>0</v>
      </c>
      <c r="R108" s="184">
        <v>0</v>
      </c>
      <c r="S108" s="184">
        <v>0</v>
      </c>
      <c r="T108" s="184">
        <v>0</v>
      </c>
      <c r="U108" s="184">
        <v>0</v>
      </c>
      <c r="V108" s="184">
        <v>0</v>
      </c>
      <c r="W108" s="184">
        <v>0</v>
      </c>
      <c r="X108" s="184">
        <v>0</v>
      </c>
      <c r="Y108" s="184">
        <v>0</v>
      </c>
      <c r="Z108" s="184">
        <v>0</v>
      </c>
      <c r="AA108" s="184">
        <v>0</v>
      </c>
      <c r="AB108" s="184">
        <v>0</v>
      </c>
      <c r="AC108" s="185" t="s">
        <v>24</v>
      </c>
      <c r="AD108" s="185" t="s">
        <v>24</v>
      </c>
      <c r="AE108" s="184">
        <v>0</v>
      </c>
      <c r="AF108" s="185">
        <v>0</v>
      </c>
      <c r="AG108" s="184">
        <v>0</v>
      </c>
      <c r="AH108" s="185">
        <v>0</v>
      </c>
      <c r="AI108" s="184">
        <v>0</v>
      </c>
      <c r="AJ108" s="643">
        <v>0</v>
      </c>
      <c r="AY108" s="94"/>
      <c r="AZ108" s="95"/>
      <c r="BA108" s="95"/>
      <c r="BB108" s="95"/>
      <c r="BC108" s="95"/>
      <c r="BD108" s="95"/>
      <c r="BE108" s="95"/>
      <c r="BF108" s="95"/>
      <c r="BG108" s="96"/>
      <c r="BH108" s="94"/>
      <c r="BI108" s="97"/>
      <c r="BJ108" s="97"/>
      <c r="BK108" s="97"/>
      <c r="BL108" s="97"/>
      <c r="BM108" s="97"/>
      <c r="BN108" s="97"/>
      <c r="BO108" s="97"/>
      <c r="BP108" s="98"/>
      <c r="BQ108" s="94"/>
      <c r="BR108" s="97"/>
      <c r="BS108" s="97"/>
      <c r="BT108" s="97"/>
      <c r="BU108" s="97"/>
      <c r="BV108" s="97"/>
      <c r="BW108" s="97"/>
      <c r="BX108" s="97"/>
      <c r="BY108" s="99"/>
      <c r="CC108" s="94"/>
      <c r="CD108" s="95"/>
      <c r="CE108" s="95"/>
      <c r="CF108" s="95"/>
      <c r="CG108" s="95"/>
      <c r="CH108" s="95"/>
      <c r="CI108" s="95"/>
      <c r="CJ108" s="95"/>
      <c r="CK108" s="96"/>
      <c r="CX108" s="153" t="s">
        <v>415</v>
      </c>
      <c r="CY108" s="29">
        <f>IF(WEEKDAY(config!AD5, 2)&lt;=5,1,0)</f>
        <v>1</v>
      </c>
    </row>
    <row r="109" spans="1:107" ht="15" x14ac:dyDescent="0.2">
      <c r="A109" s="190" t="s">
        <v>131</v>
      </c>
      <c r="B109" s="642">
        <v>1</v>
      </c>
      <c r="C109" s="184">
        <v>0</v>
      </c>
      <c r="D109" s="184">
        <v>1</v>
      </c>
      <c r="E109" s="184">
        <v>0</v>
      </c>
      <c r="F109" s="184">
        <v>0</v>
      </c>
      <c r="G109" s="184">
        <v>0</v>
      </c>
      <c r="H109" s="184">
        <v>0</v>
      </c>
      <c r="I109" s="184">
        <v>0</v>
      </c>
      <c r="J109" s="184">
        <v>0</v>
      </c>
      <c r="K109" s="184">
        <v>0</v>
      </c>
      <c r="L109" s="184">
        <v>0</v>
      </c>
      <c r="M109" s="654" t="s">
        <v>24</v>
      </c>
      <c r="N109" s="669" t="s">
        <v>131</v>
      </c>
      <c r="O109" s="642">
        <v>0</v>
      </c>
      <c r="P109" s="184">
        <v>0</v>
      </c>
      <c r="Q109" s="184">
        <v>0</v>
      </c>
      <c r="R109" s="184">
        <v>0</v>
      </c>
      <c r="S109" s="184">
        <v>0</v>
      </c>
      <c r="T109" s="184">
        <v>0</v>
      </c>
      <c r="U109" s="184">
        <v>0</v>
      </c>
      <c r="V109" s="184">
        <v>0</v>
      </c>
      <c r="W109" s="184">
        <v>0</v>
      </c>
      <c r="X109" s="184">
        <v>1</v>
      </c>
      <c r="Y109" s="184">
        <v>0</v>
      </c>
      <c r="Z109" s="184">
        <v>0</v>
      </c>
      <c r="AA109" s="184">
        <v>0</v>
      </c>
      <c r="AB109" s="184">
        <v>0</v>
      </c>
      <c r="AC109" s="185">
        <v>54.7</v>
      </c>
      <c r="AD109" s="185" t="s">
        <v>24</v>
      </c>
      <c r="AE109" s="184">
        <v>0</v>
      </c>
      <c r="AF109" s="185">
        <v>0</v>
      </c>
      <c r="AG109" s="184">
        <v>0</v>
      </c>
      <c r="AH109" s="185">
        <v>0</v>
      </c>
      <c r="AI109" s="184">
        <v>0</v>
      </c>
      <c r="AJ109" s="643">
        <v>0</v>
      </c>
      <c r="AY109" s="94"/>
      <c r="AZ109" s="100"/>
      <c r="BA109" s="100"/>
      <c r="BB109" s="100"/>
      <c r="BC109" s="100"/>
      <c r="BD109" s="100"/>
      <c r="BE109" s="100"/>
      <c r="BF109" s="100"/>
      <c r="BG109" s="96"/>
      <c r="BH109" s="94"/>
      <c r="BI109" s="101"/>
      <c r="BJ109" s="101"/>
      <c r="BK109" s="101"/>
      <c r="BL109" s="101"/>
      <c r="BM109" s="101"/>
      <c r="BN109" s="101"/>
      <c r="BO109" s="101"/>
      <c r="BP109" s="102"/>
      <c r="BQ109" s="94"/>
      <c r="BR109" s="101"/>
      <c r="BS109" s="101"/>
      <c r="BT109" s="101"/>
      <c r="BU109" s="101"/>
      <c r="BV109" s="101"/>
      <c r="BW109" s="101"/>
      <c r="BX109" s="101"/>
      <c r="BY109" s="99"/>
      <c r="CX109" s="153" t="s">
        <v>416</v>
      </c>
      <c r="CY109" s="29">
        <f>IF(WEEKDAY(config!AD6, 2)&lt;=5,1,0)</f>
        <v>1</v>
      </c>
    </row>
    <row r="110" spans="1:107" ht="15" x14ac:dyDescent="0.25">
      <c r="A110" s="190" t="s">
        <v>132</v>
      </c>
      <c r="B110" s="648">
        <v>1</v>
      </c>
      <c r="C110" s="649">
        <v>0</v>
      </c>
      <c r="D110" s="649">
        <v>1</v>
      </c>
      <c r="E110" s="649">
        <v>0</v>
      </c>
      <c r="F110" s="649">
        <v>0</v>
      </c>
      <c r="G110" s="649">
        <v>0</v>
      </c>
      <c r="H110" s="649">
        <v>0</v>
      </c>
      <c r="I110" s="649">
        <v>0</v>
      </c>
      <c r="J110" s="649">
        <v>0</v>
      </c>
      <c r="K110" s="649">
        <v>0</v>
      </c>
      <c r="L110" s="649">
        <v>0</v>
      </c>
      <c r="M110" s="657" t="s">
        <v>24</v>
      </c>
      <c r="N110" s="669" t="s">
        <v>132</v>
      </c>
      <c r="O110" s="648">
        <v>0</v>
      </c>
      <c r="P110" s="649">
        <v>0</v>
      </c>
      <c r="Q110" s="649">
        <v>0</v>
      </c>
      <c r="R110" s="649">
        <v>0</v>
      </c>
      <c r="S110" s="649">
        <v>0</v>
      </c>
      <c r="T110" s="649">
        <v>0</v>
      </c>
      <c r="U110" s="649">
        <v>0</v>
      </c>
      <c r="V110" s="649">
        <v>1</v>
      </c>
      <c r="W110" s="649">
        <v>0</v>
      </c>
      <c r="X110" s="649">
        <v>0</v>
      </c>
      <c r="Y110" s="649">
        <v>0</v>
      </c>
      <c r="Z110" s="649">
        <v>0</v>
      </c>
      <c r="AA110" s="649">
        <v>0</v>
      </c>
      <c r="AB110" s="649">
        <v>0</v>
      </c>
      <c r="AC110" s="650">
        <v>40.299999999999997</v>
      </c>
      <c r="AD110" s="650" t="s">
        <v>24</v>
      </c>
      <c r="AE110" s="649">
        <v>0</v>
      </c>
      <c r="AF110" s="650">
        <v>0</v>
      </c>
      <c r="AG110" s="649">
        <v>0</v>
      </c>
      <c r="AH110" s="650">
        <v>0</v>
      </c>
      <c r="AI110" s="649">
        <v>0</v>
      </c>
      <c r="AJ110" s="651">
        <v>0</v>
      </c>
      <c r="AY110" s="94" t="s">
        <v>171</v>
      </c>
      <c r="AZ110" s="103">
        <f>SUM(H114:L114)</f>
        <v>3</v>
      </c>
      <c r="BA110" s="103">
        <f>SUM(H221:L221)</f>
        <v>3</v>
      </c>
      <c r="BB110" s="103">
        <f>SUM(H328:L328)</f>
        <v>8</v>
      </c>
      <c r="BC110" s="103">
        <f>SUM(H435:L435)</f>
        <v>5</v>
      </c>
      <c r="BD110" s="103">
        <f>SUM(H542:L542)</f>
        <v>2</v>
      </c>
      <c r="BE110" s="103">
        <f>SUM(H649:L649)</f>
        <v>2</v>
      </c>
      <c r="BF110" s="103">
        <f>SUM(H756:L756)</f>
        <v>2</v>
      </c>
      <c r="BH110" s="94"/>
      <c r="BI110" s="103"/>
      <c r="BJ110" s="103"/>
      <c r="BK110" s="103"/>
      <c r="BL110" s="103"/>
      <c r="BM110" s="103"/>
      <c r="BN110" s="103"/>
      <c r="BO110" s="103"/>
      <c r="BQ110" s="94"/>
      <c r="BR110" s="97"/>
      <c r="BS110" s="97"/>
      <c r="BT110" s="97"/>
      <c r="BU110" s="97"/>
      <c r="BV110" s="97"/>
      <c r="BW110" s="97"/>
      <c r="BX110" s="97"/>
      <c r="CX110" s="153" t="s">
        <v>417</v>
      </c>
      <c r="CY110" s="29">
        <f>IF(WEEKDAY(config!AD7, 2)&lt;=5,1,0)</f>
        <v>1</v>
      </c>
    </row>
    <row r="111" spans="1:107" ht="15" x14ac:dyDescent="0.25">
      <c r="A111" s="190" t="s">
        <v>133</v>
      </c>
      <c r="B111" s="590">
        <v>574</v>
      </c>
      <c r="C111" s="591">
        <v>10</v>
      </c>
      <c r="D111" s="591">
        <v>494</v>
      </c>
      <c r="E111" s="591">
        <v>7</v>
      </c>
      <c r="F111" s="591">
        <v>61</v>
      </c>
      <c r="G111" s="591">
        <v>0</v>
      </c>
      <c r="H111" s="591">
        <v>1</v>
      </c>
      <c r="I111" s="591">
        <v>0</v>
      </c>
      <c r="J111" s="591">
        <v>1</v>
      </c>
      <c r="K111" s="591">
        <v>0</v>
      </c>
      <c r="L111" s="591">
        <v>0</v>
      </c>
      <c r="M111" s="591" t="s">
        <v>24</v>
      </c>
      <c r="N111" s="584" t="s">
        <v>133</v>
      </c>
      <c r="O111" s="591">
        <v>0</v>
      </c>
      <c r="P111" s="591">
        <v>2</v>
      </c>
      <c r="Q111" s="591">
        <v>5</v>
      </c>
      <c r="R111" s="591">
        <v>8</v>
      </c>
      <c r="S111" s="591">
        <v>26</v>
      </c>
      <c r="T111" s="591">
        <v>78</v>
      </c>
      <c r="U111" s="591">
        <v>129</v>
      </c>
      <c r="V111" s="591">
        <v>154</v>
      </c>
      <c r="W111" s="591">
        <v>97</v>
      </c>
      <c r="X111" s="591">
        <v>68</v>
      </c>
      <c r="Y111" s="591">
        <v>7</v>
      </c>
      <c r="Z111" s="591">
        <v>0</v>
      </c>
      <c r="AA111" s="591">
        <v>0</v>
      </c>
      <c r="AB111" s="591">
        <v>0</v>
      </c>
      <c r="AC111" s="606">
        <v>40.64583333333335</v>
      </c>
      <c r="AD111" s="606">
        <v>49.461538461538467</v>
      </c>
      <c r="AE111" s="591">
        <v>7</v>
      </c>
      <c r="AF111" s="606">
        <v>0.87906200159489645</v>
      </c>
      <c r="AG111" s="591">
        <v>0</v>
      </c>
      <c r="AH111" s="606">
        <v>0</v>
      </c>
      <c r="AI111" s="591">
        <v>0</v>
      </c>
      <c r="AJ111" s="607">
        <v>0</v>
      </c>
      <c r="AY111" s="104"/>
      <c r="AZ111" s="105"/>
      <c r="BA111" s="105"/>
      <c r="BB111" s="105"/>
      <c r="BC111" s="105"/>
      <c r="BD111" s="105"/>
      <c r="BE111" s="105"/>
      <c r="BF111" s="105"/>
      <c r="BH111" s="94"/>
      <c r="BI111" s="97"/>
      <c r="BJ111" s="97"/>
      <c r="BK111" s="97"/>
      <c r="BL111" s="97"/>
      <c r="BM111" s="97"/>
      <c r="BN111" s="97"/>
      <c r="BO111" s="97"/>
      <c r="CX111" s="153" t="s">
        <v>418</v>
      </c>
      <c r="CY111" s="29">
        <f>IF(WEEKDAY(config!AD8, 2)&lt;=5,1,0)</f>
        <v>1</v>
      </c>
    </row>
    <row r="112" spans="1:107" ht="15" x14ac:dyDescent="0.25">
      <c r="A112" s="190" t="s">
        <v>134</v>
      </c>
      <c r="B112" s="593">
        <v>664</v>
      </c>
      <c r="C112" s="181">
        <v>11</v>
      </c>
      <c r="D112" s="181">
        <v>576</v>
      </c>
      <c r="E112" s="181">
        <v>8</v>
      </c>
      <c r="F112" s="181">
        <v>66</v>
      </c>
      <c r="G112" s="181">
        <v>0</v>
      </c>
      <c r="H112" s="181">
        <v>2</v>
      </c>
      <c r="I112" s="181">
        <v>0</v>
      </c>
      <c r="J112" s="181">
        <v>1</v>
      </c>
      <c r="K112" s="181">
        <v>0</v>
      </c>
      <c r="L112" s="181">
        <v>0</v>
      </c>
      <c r="M112" s="181" t="s">
        <v>24</v>
      </c>
      <c r="N112" s="585" t="s">
        <v>134</v>
      </c>
      <c r="O112" s="181">
        <v>0</v>
      </c>
      <c r="P112" s="181">
        <v>3</v>
      </c>
      <c r="Q112" s="181">
        <v>6</v>
      </c>
      <c r="R112" s="181">
        <v>8</v>
      </c>
      <c r="S112" s="181">
        <v>29</v>
      </c>
      <c r="T112" s="181">
        <v>83</v>
      </c>
      <c r="U112" s="181">
        <v>147</v>
      </c>
      <c r="V112" s="181">
        <v>177</v>
      </c>
      <c r="W112" s="181">
        <v>116</v>
      </c>
      <c r="X112" s="181">
        <v>84</v>
      </c>
      <c r="Y112" s="181">
        <v>11</v>
      </c>
      <c r="Z112" s="181">
        <v>0</v>
      </c>
      <c r="AA112" s="181">
        <v>0</v>
      </c>
      <c r="AB112" s="181">
        <v>0</v>
      </c>
      <c r="AC112" s="182">
        <v>41.131746031746047</v>
      </c>
      <c r="AD112" s="182">
        <v>49.582142857142863</v>
      </c>
      <c r="AE112" s="181">
        <v>11</v>
      </c>
      <c r="AF112" s="182">
        <v>1.2842965011961724</v>
      </c>
      <c r="AG112" s="181">
        <v>0</v>
      </c>
      <c r="AH112" s="182">
        <v>0</v>
      </c>
      <c r="AI112" s="181">
        <v>0</v>
      </c>
      <c r="AJ112" s="608">
        <v>0</v>
      </c>
      <c r="BH112" s="104"/>
      <c r="BI112" s="97"/>
      <c r="BJ112" s="97"/>
      <c r="BK112" s="97"/>
      <c r="BL112" s="97"/>
      <c r="BM112" s="97"/>
      <c r="BN112" s="97"/>
      <c r="BO112" s="97"/>
      <c r="BQ112" s="104"/>
      <c r="BR112" s="97"/>
      <c r="BS112" s="97"/>
      <c r="BT112" s="97"/>
      <c r="BU112" s="97"/>
      <c r="BV112" s="97"/>
      <c r="BW112" s="97"/>
      <c r="BX112" s="97"/>
      <c r="BY112" s="99"/>
      <c r="CX112" s="153" t="s">
        <v>419</v>
      </c>
      <c r="CY112" s="29">
        <f>IF(WEEKDAY(config!AD9, 2)&lt;=5,1,0)</f>
        <v>0</v>
      </c>
    </row>
    <row r="113" spans="1:107" x14ac:dyDescent="0.2">
      <c r="A113" s="190" t="s">
        <v>135</v>
      </c>
      <c r="B113" s="593">
        <v>679</v>
      </c>
      <c r="C113" s="181">
        <v>11</v>
      </c>
      <c r="D113" s="181">
        <v>589</v>
      </c>
      <c r="E113" s="181">
        <v>9</v>
      </c>
      <c r="F113" s="181">
        <v>67</v>
      </c>
      <c r="G113" s="181">
        <v>0</v>
      </c>
      <c r="H113" s="181">
        <v>2</v>
      </c>
      <c r="I113" s="181">
        <v>0</v>
      </c>
      <c r="J113" s="181">
        <v>1</v>
      </c>
      <c r="K113" s="181">
        <v>0</v>
      </c>
      <c r="L113" s="181">
        <v>0</v>
      </c>
      <c r="M113" s="181" t="s">
        <v>24</v>
      </c>
      <c r="N113" s="585" t="s">
        <v>135</v>
      </c>
      <c r="O113" s="181">
        <v>0</v>
      </c>
      <c r="P113" s="181">
        <v>3</v>
      </c>
      <c r="Q113" s="181">
        <v>6</v>
      </c>
      <c r="R113" s="181">
        <v>8</v>
      </c>
      <c r="S113" s="181">
        <v>29</v>
      </c>
      <c r="T113" s="181">
        <v>87</v>
      </c>
      <c r="U113" s="181">
        <v>149</v>
      </c>
      <c r="V113" s="181">
        <v>181</v>
      </c>
      <c r="W113" s="181">
        <v>118</v>
      </c>
      <c r="X113" s="181">
        <v>86</v>
      </c>
      <c r="Y113" s="181">
        <v>12</v>
      </c>
      <c r="Z113" s="181">
        <v>0</v>
      </c>
      <c r="AA113" s="181">
        <v>0</v>
      </c>
      <c r="AB113" s="181">
        <v>0</v>
      </c>
      <c r="AC113" s="182">
        <v>41.388571428571446</v>
      </c>
      <c r="AD113" s="182">
        <v>49.582142857142863</v>
      </c>
      <c r="AE113" s="181">
        <v>12</v>
      </c>
      <c r="AF113" s="182">
        <v>1.6045598529151162</v>
      </c>
      <c r="AG113" s="181">
        <v>0</v>
      </c>
      <c r="AH113" s="182">
        <v>0</v>
      </c>
      <c r="AI113" s="181">
        <v>0</v>
      </c>
      <c r="AJ113" s="608">
        <v>0</v>
      </c>
      <c r="BR113" s="270"/>
      <c r="BS113" s="270"/>
      <c r="BT113" s="270"/>
      <c r="BU113" s="270"/>
      <c r="BV113" s="270"/>
      <c r="BW113" s="270"/>
      <c r="BX113" s="270"/>
      <c r="CX113" s="153" t="s">
        <v>420</v>
      </c>
      <c r="CY113" s="29">
        <f>IF(WEEKDAY(config!AD10, 2)&lt;=5,1,0)</f>
        <v>0</v>
      </c>
    </row>
    <row r="114" spans="1:107" ht="13.5" thickBot="1" x14ac:dyDescent="0.25">
      <c r="A114" s="190" t="s">
        <v>136</v>
      </c>
      <c r="B114" s="595">
        <v>688</v>
      </c>
      <c r="C114" s="596">
        <v>11</v>
      </c>
      <c r="D114" s="596">
        <v>597</v>
      </c>
      <c r="E114" s="596">
        <v>9</v>
      </c>
      <c r="F114" s="596">
        <v>68</v>
      </c>
      <c r="G114" s="596">
        <v>0</v>
      </c>
      <c r="H114" s="596">
        <v>2</v>
      </c>
      <c r="I114" s="596">
        <v>0</v>
      </c>
      <c r="J114" s="596">
        <v>1</v>
      </c>
      <c r="K114" s="596">
        <v>0</v>
      </c>
      <c r="L114" s="596">
        <v>0</v>
      </c>
      <c r="M114" s="596" t="s">
        <v>24</v>
      </c>
      <c r="N114" s="586" t="s">
        <v>136</v>
      </c>
      <c r="O114" s="596">
        <v>0</v>
      </c>
      <c r="P114" s="596">
        <v>3</v>
      </c>
      <c r="Q114" s="596">
        <v>6</v>
      </c>
      <c r="R114" s="596">
        <v>8</v>
      </c>
      <c r="S114" s="596">
        <v>29</v>
      </c>
      <c r="T114" s="596">
        <v>87</v>
      </c>
      <c r="U114" s="596">
        <v>152</v>
      </c>
      <c r="V114" s="596">
        <v>183</v>
      </c>
      <c r="W114" s="596">
        <v>120</v>
      </c>
      <c r="X114" s="596">
        <v>86</v>
      </c>
      <c r="Y114" s="596">
        <v>14</v>
      </c>
      <c r="Z114" s="596">
        <v>0</v>
      </c>
      <c r="AA114" s="596">
        <v>0</v>
      </c>
      <c r="AB114" s="596">
        <v>0</v>
      </c>
      <c r="AC114" s="609">
        <v>41.6</v>
      </c>
      <c r="AD114" s="609">
        <v>49.582142857142863</v>
      </c>
      <c r="AE114" s="596">
        <v>14</v>
      </c>
      <c r="AF114" s="609">
        <v>2.2450865563530038</v>
      </c>
      <c r="AG114" s="596">
        <v>0</v>
      </c>
      <c r="AH114" s="609">
        <v>0</v>
      </c>
      <c r="AI114" s="596">
        <v>0</v>
      </c>
      <c r="AJ114" s="610">
        <v>0</v>
      </c>
      <c r="BI114" s="697" t="str">
        <f>TEXT(BI9, "DDD")</f>
        <v>Tue</v>
      </c>
      <c r="BJ114" s="697" t="str">
        <f t="shared" ref="BJ114:BO114" si="131">TEXT(BJ9, "DDD")</f>
        <v>Wed</v>
      </c>
      <c r="BK114" s="697" t="str">
        <f t="shared" si="131"/>
        <v>Thu</v>
      </c>
      <c r="BL114" s="697" t="str">
        <f t="shared" si="131"/>
        <v>Fri</v>
      </c>
      <c r="BM114" s="697" t="str">
        <f t="shared" si="131"/>
        <v>Sat</v>
      </c>
      <c r="BN114" s="697" t="str">
        <f t="shared" si="131"/>
        <v>Sun</v>
      </c>
      <c r="BO114" s="697" t="str">
        <f t="shared" si="131"/>
        <v>Mon</v>
      </c>
      <c r="CA114" s="415" t="s">
        <v>169</v>
      </c>
      <c r="CB114" s="415" t="s">
        <v>166</v>
      </c>
      <c r="CX114" s="153" t="s">
        <v>421</v>
      </c>
      <c r="CY114" s="29">
        <f>IF(WEEKDAY(config!AD11, 2)&lt;=5,1,0)</f>
        <v>1</v>
      </c>
    </row>
    <row r="115" spans="1:107" ht="15" x14ac:dyDescent="0.25">
      <c r="A115" s="190"/>
      <c r="B115" s="660"/>
      <c r="C115" s="661"/>
      <c r="D115" s="661"/>
      <c r="E115" s="661"/>
      <c r="F115" s="661"/>
      <c r="G115" s="661"/>
      <c r="H115" s="661"/>
      <c r="I115" s="661"/>
      <c r="J115" s="661"/>
      <c r="K115" s="661"/>
      <c r="L115" s="661"/>
      <c r="M115" s="661"/>
      <c r="N115" s="662"/>
      <c r="O115" s="661"/>
      <c r="P115" s="661"/>
      <c r="Q115" s="661"/>
      <c r="R115" s="661"/>
      <c r="S115" s="661"/>
      <c r="T115" s="661"/>
      <c r="U115" s="661"/>
      <c r="V115" s="661"/>
      <c r="W115" s="661"/>
      <c r="X115" s="661"/>
      <c r="Y115" s="661"/>
      <c r="Z115" s="661"/>
      <c r="AA115" s="661"/>
      <c r="AB115" s="661"/>
      <c r="AC115" s="663"/>
      <c r="AD115" s="663"/>
      <c r="AE115" s="661"/>
      <c r="AF115" s="663"/>
      <c r="AG115" s="661"/>
      <c r="AH115" s="663"/>
      <c r="AI115" s="661"/>
      <c r="AJ115" s="663"/>
      <c r="AP115" s="106">
        <f>SUM(AP11:AP14)</f>
        <v>0</v>
      </c>
      <c r="AR115" s="56">
        <f>AR11</f>
        <v>0</v>
      </c>
      <c r="AS115" s="107">
        <f>SUM(AS11:AS14)</f>
        <v>0</v>
      </c>
      <c r="AT115" s="108">
        <f>SUM(AT11:AT14)</f>
        <v>2.2857142857142856</v>
      </c>
      <c r="AU115" s="109">
        <f>SUM(AU11:AU14)</f>
        <v>0</v>
      </c>
      <c r="AV115" s="108">
        <f>SUM(AV11:AV14)</f>
        <v>0</v>
      </c>
      <c r="AW115" s="110">
        <f>SUM(AW11:AW14)</f>
        <v>0</v>
      </c>
      <c r="AY115" s="56">
        <f>AY11</f>
        <v>0</v>
      </c>
      <c r="AZ115" s="107">
        <f t="shared" ref="AZ115:BF115" si="132">IF(SUM(AZ11:AZ14)&gt;0, SUM(AZ11:AZ14), NA())</f>
        <v>3</v>
      </c>
      <c r="BA115" s="108">
        <f t="shared" si="132"/>
        <v>3</v>
      </c>
      <c r="BB115" s="109">
        <f t="shared" si="132"/>
        <v>2</v>
      </c>
      <c r="BC115" s="108">
        <f t="shared" si="132"/>
        <v>2</v>
      </c>
      <c r="BD115" s="109">
        <f t="shared" si="132"/>
        <v>4</v>
      </c>
      <c r="BE115" s="108">
        <f t="shared" si="132"/>
        <v>2</v>
      </c>
      <c r="BF115" s="110" t="e">
        <f t="shared" si="132"/>
        <v>#N/A</v>
      </c>
      <c r="BH115" s="56">
        <f>BH11</f>
        <v>0</v>
      </c>
      <c r="BI115" s="111">
        <f t="shared" ref="BI115:BO115" si="133">IF(SUM(CM11:CM14)&lt;=0, NA(), SUM(CM11:CM14)/AZ115)</f>
        <v>50.933333333333337</v>
      </c>
      <c r="BJ115" s="112">
        <f t="shared" si="133"/>
        <v>41.666666666666664</v>
      </c>
      <c r="BK115" s="113">
        <f t="shared" si="133"/>
        <v>44.2</v>
      </c>
      <c r="BL115" s="112">
        <f t="shared" si="133"/>
        <v>45.6</v>
      </c>
      <c r="BM115" s="113">
        <f t="shared" si="133"/>
        <v>39.625</v>
      </c>
      <c r="BN115" s="112">
        <f t="shared" si="133"/>
        <v>49.2</v>
      </c>
      <c r="BO115" s="114" t="e">
        <f t="shared" si="133"/>
        <v>#N/A</v>
      </c>
      <c r="BQ115" s="56">
        <f>BQ11</f>
        <v>0</v>
      </c>
      <c r="BR115" s="111" t="str">
        <f t="shared" ref="BR115:BX115" si="134">IFERROR(AVERAGE(BR11:BR14), "")</f>
        <v/>
      </c>
      <c r="BS115" s="112" t="str">
        <f t="shared" si="134"/>
        <v/>
      </c>
      <c r="BT115" s="113" t="str">
        <f t="shared" si="134"/>
        <v/>
      </c>
      <c r="BU115" s="112" t="str">
        <f t="shared" si="134"/>
        <v/>
      </c>
      <c r="BV115" s="113" t="str">
        <f t="shared" si="134"/>
        <v/>
      </c>
      <c r="BW115" s="112" t="str">
        <f t="shared" si="134"/>
        <v/>
      </c>
      <c r="BX115" s="114" t="str">
        <f t="shared" si="134"/>
        <v/>
      </c>
      <c r="BZ115" s="66"/>
      <c r="CA115" s="414" t="e">
        <f t="shared" ref="CA115:CA138" si="135">IFERROR(SUM(BR115:BX115) / COUNTIF(BR115:BX115, "&gt;0"), NA())</f>
        <v>#N/A</v>
      </c>
      <c r="CB115" s="153">
        <f>--config!$D$8</f>
        <v>60</v>
      </c>
      <c r="CM115" s="115"/>
      <c r="CN115" s="115"/>
      <c r="CO115" s="115"/>
      <c r="CP115" s="115"/>
      <c r="CQ115" s="115"/>
      <c r="CR115" s="115"/>
      <c r="CS115" s="115"/>
      <c r="CY115" s="111">
        <f>SUM(CY11:CY14)</f>
        <v>0</v>
      </c>
      <c r="CZ115" s="112">
        <f>SUM(CZ11:CZ14)</f>
        <v>2</v>
      </c>
      <c r="DA115" s="113">
        <f>SUM(DA11:DA14)</f>
        <v>0</v>
      </c>
      <c r="DB115" s="112">
        <f>SUM(DB11:DB14)</f>
        <v>0</v>
      </c>
      <c r="DC115" s="114">
        <f>SUM(DC11:DC14)</f>
        <v>0</v>
      </c>
    </row>
    <row r="116" spans="1:107" ht="15" x14ac:dyDescent="0.25">
      <c r="A116" s="190"/>
      <c r="B116" s="664"/>
      <c r="C116" s="169"/>
      <c r="D116" s="169"/>
      <c r="E116" s="169"/>
      <c r="F116" s="169"/>
      <c r="G116" s="169"/>
      <c r="H116" s="169"/>
      <c r="I116" s="169"/>
      <c r="J116" s="169"/>
      <c r="K116" s="169"/>
      <c r="L116" s="169"/>
      <c r="M116" s="169"/>
      <c r="N116" s="178"/>
      <c r="O116" s="169"/>
      <c r="P116" s="169"/>
      <c r="Q116" s="169"/>
      <c r="R116" s="169"/>
      <c r="S116" s="169"/>
      <c r="T116" s="169"/>
      <c r="U116" s="169"/>
      <c r="V116" s="169"/>
      <c r="W116" s="169"/>
      <c r="X116" s="169"/>
      <c r="Y116" s="169"/>
      <c r="Z116" s="169"/>
      <c r="AA116" s="169"/>
      <c r="AB116" s="169"/>
      <c r="AC116" s="177"/>
      <c r="AD116" s="177"/>
      <c r="AE116" s="169"/>
      <c r="AF116" s="177"/>
      <c r="AG116" s="169"/>
      <c r="AH116" s="177"/>
      <c r="AI116" s="169"/>
      <c r="AJ116" s="177"/>
      <c r="AP116" s="116">
        <f>SUM(AP15:AP18)</f>
        <v>0</v>
      </c>
      <c r="AR116" s="56">
        <f>AR15</f>
        <v>4.1666666666666664E-2</v>
      </c>
      <c r="AS116" s="117">
        <f>SUM(AS15:AS18)</f>
        <v>0</v>
      </c>
      <c r="AT116" s="116">
        <f>SUM(AT15:AT18)</f>
        <v>1.2857142857142856</v>
      </c>
      <c r="AU116" s="118">
        <f>SUM(AU15:AU18)</f>
        <v>0</v>
      </c>
      <c r="AV116" s="116">
        <f>SUM(AV15:AV18)</f>
        <v>0</v>
      </c>
      <c r="AW116" s="119">
        <f>SUM(AW15:AW18)</f>
        <v>0</v>
      </c>
      <c r="AY116" s="56">
        <f>AY15</f>
        <v>4.1666666666666664E-2</v>
      </c>
      <c r="AZ116" s="117" t="e">
        <f t="shared" ref="AZ116:BF116" si="136">IF(SUM(AZ15:AZ18)&gt;0, SUM(AZ15:AZ18), NA())</f>
        <v>#N/A</v>
      </c>
      <c r="BA116" s="116" t="e">
        <f t="shared" si="136"/>
        <v>#N/A</v>
      </c>
      <c r="BB116" s="118" t="e">
        <f t="shared" si="136"/>
        <v>#N/A</v>
      </c>
      <c r="BC116" s="116">
        <f t="shared" si="136"/>
        <v>1</v>
      </c>
      <c r="BD116" s="118">
        <f t="shared" si="136"/>
        <v>5</v>
      </c>
      <c r="BE116" s="116">
        <f t="shared" si="136"/>
        <v>2</v>
      </c>
      <c r="BF116" s="119">
        <f t="shared" si="136"/>
        <v>1</v>
      </c>
      <c r="BH116" s="56">
        <f>BH15</f>
        <v>4.1666666666666664E-2</v>
      </c>
      <c r="BI116" s="120" t="e">
        <f t="shared" ref="BI116:BO116" si="137">IF(SUM(CM15:CM18)&lt;=0, NA(), SUM(CM15:CM18)/AZ116)</f>
        <v>#N/A</v>
      </c>
      <c r="BJ116" s="121" t="e">
        <f t="shared" si="137"/>
        <v>#N/A</v>
      </c>
      <c r="BK116" s="115" t="e">
        <f t="shared" si="137"/>
        <v>#N/A</v>
      </c>
      <c r="BL116" s="121">
        <f t="shared" si="137"/>
        <v>50.6</v>
      </c>
      <c r="BM116" s="115">
        <f t="shared" si="137"/>
        <v>41</v>
      </c>
      <c r="BN116" s="121">
        <f t="shared" si="137"/>
        <v>48.7</v>
      </c>
      <c r="BO116" s="122">
        <f t="shared" si="137"/>
        <v>41.4</v>
      </c>
      <c r="BQ116" s="56">
        <f>BQ15</f>
        <v>4.1666666666666664E-2</v>
      </c>
      <c r="BR116" s="120" t="str">
        <f t="shared" ref="BR116:BX116" si="138">IFERROR(AVERAGE(BR15:BR18), "")</f>
        <v/>
      </c>
      <c r="BS116" s="121" t="str">
        <f t="shared" si="138"/>
        <v/>
      </c>
      <c r="BT116" s="115" t="str">
        <f t="shared" si="138"/>
        <v/>
      </c>
      <c r="BU116" s="121" t="str">
        <f t="shared" si="138"/>
        <v/>
      </c>
      <c r="BV116" s="115" t="str">
        <f t="shared" si="138"/>
        <v/>
      </c>
      <c r="BW116" s="121" t="str">
        <f t="shared" si="138"/>
        <v/>
      </c>
      <c r="BX116" s="122" t="str">
        <f t="shared" si="138"/>
        <v/>
      </c>
      <c r="BZ116" s="66"/>
      <c r="CA116" s="414" t="e">
        <f t="shared" si="135"/>
        <v>#N/A</v>
      </c>
      <c r="CB116" s="153">
        <f>CB115</f>
        <v>60</v>
      </c>
      <c r="CM116" s="115"/>
      <c r="CN116" s="115"/>
      <c r="CO116" s="115"/>
      <c r="CP116" s="115"/>
      <c r="CQ116" s="115"/>
      <c r="CR116" s="115"/>
      <c r="CS116" s="115"/>
      <c r="CY116" s="120">
        <f>SUM(CY15:CY18)</f>
        <v>0</v>
      </c>
      <c r="CZ116" s="121">
        <f>SUM(CZ15:CZ18)</f>
        <v>0.4</v>
      </c>
      <c r="DA116" s="115">
        <f>SUM(DA15:DA18)</f>
        <v>0</v>
      </c>
      <c r="DB116" s="121">
        <f>SUM(DB15:DB18)</f>
        <v>0</v>
      </c>
      <c r="DC116" s="122">
        <f>SUM(DC15:DC18)</f>
        <v>0</v>
      </c>
    </row>
    <row r="117" spans="1:107" ht="15" x14ac:dyDescent="0.25">
      <c r="A117" s="658">
        <f>A10+1</f>
        <v>43264</v>
      </c>
      <c r="B117" s="664"/>
      <c r="C117" s="169"/>
      <c r="D117" s="169"/>
      <c r="E117" s="169"/>
      <c r="F117" s="169"/>
      <c r="G117" s="169"/>
      <c r="H117" s="169"/>
      <c r="I117" s="169"/>
      <c r="J117" s="169"/>
      <c r="K117" s="169"/>
      <c r="L117" s="169"/>
      <c r="M117" s="169"/>
      <c r="N117" s="178"/>
      <c r="O117" s="169"/>
      <c r="P117" s="169"/>
      <c r="Q117" s="169"/>
      <c r="R117" s="169"/>
      <c r="S117" s="169"/>
      <c r="T117" s="169"/>
      <c r="U117" s="169"/>
      <c r="V117" s="169"/>
      <c r="W117" s="169"/>
      <c r="X117" s="169"/>
      <c r="Y117" s="169"/>
      <c r="Z117" s="169"/>
      <c r="AA117" s="169"/>
      <c r="AB117" s="169"/>
      <c r="AC117" s="177"/>
      <c r="AD117" s="177"/>
      <c r="AE117" s="169"/>
      <c r="AF117" s="177"/>
      <c r="AG117" s="169"/>
      <c r="AH117" s="177"/>
      <c r="AI117" s="169"/>
      <c r="AJ117" s="177"/>
      <c r="AP117" s="116">
        <f>SUM(AP19:AP22)</f>
        <v>0</v>
      </c>
      <c r="AR117" s="56">
        <f>AR19</f>
        <v>8.3333333333333329E-2</v>
      </c>
      <c r="AS117" s="117">
        <f>SUM(AS19:AS22)</f>
        <v>0</v>
      </c>
      <c r="AT117" s="116">
        <f>SUM(AT19:AT22)</f>
        <v>0.5714285714285714</v>
      </c>
      <c r="AU117" s="118">
        <f>SUM(AU19:AU22)</f>
        <v>0</v>
      </c>
      <c r="AV117" s="116">
        <f>SUM(AV19:AV22)</f>
        <v>0</v>
      </c>
      <c r="AW117" s="119">
        <f>SUM(AW19:AW22)</f>
        <v>0</v>
      </c>
      <c r="AY117" s="56">
        <f>AY19</f>
        <v>8.3333333333333329E-2</v>
      </c>
      <c r="AZ117" s="117" t="e">
        <f t="shared" ref="AZ117:BF117" si="139">IF(SUM(AZ19:AZ22)&gt;0, SUM(AZ19:AZ22), NA())</f>
        <v>#N/A</v>
      </c>
      <c r="BA117" s="116">
        <f t="shared" si="139"/>
        <v>1</v>
      </c>
      <c r="BB117" s="118" t="e">
        <f t="shared" si="139"/>
        <v>#N/A</v>
      </c>
      <c r="BC117" s="116">
        <f t="shared" si="139"/>
        <v>1</v>
      </c>
      <c r="BD117" s="118">
        <f t="shared" si="139"/>
        <v>1</v>
      </c>
      <c r="BE117" s="116">
        <f t="shared" si="139"/>
        <v>1</v>
      </c>
      <c r="BF117" s="119" t="e">
        <f t="shared" si="139"/>
        <v>#N/A</v>
      </c>
      <c r="BH117" s="56">
        <f>BH19</f>
        <v>8.3333333333333329E-2</v>
      </c>
      <c r="BI117" s="120" t="e">
        <f t="shared" ref="BI117:BO117" si="140">IF(SUM(CM19:CM22)&lt;=0, NA(), SUM(CM19:CM22)/AZ117)</f>
        <v>#N/A</v>
      </c>
      <c r="BJ117" s="121">
        <f t="shared" si="140"/>
        <v>51.3</v>
      </c>
      <c r="BK117" s="115" t="e">
        <f t="shared" si="140"/>
        <v>#N/A</v>
      </c>
      <c r="BL117" s="121">
        <f t="shared" si="140"/>
        <v>38.5</v>
      </c>
      <c r="BM117" s="115">
        <f t="shared" si="140"/>
        <v>40.6</v>
      </c>
      <c r="BN117" s="121">
        <f t="shared" si="140"/>
        <v>36.799999999999997</v>
      </c>
      <c r="BO117" s="122" t="e">
        <f t="shared" si="140"/>
        <v>#N/A</v>
      </c>
      <c r="BQ117" s="56">
        <f>BQ19</f>
        <v>8.3333333333333329E-2</v>
      </c>
      <c r="BR117" s="120" t="str">
        <f t="shared" ref="BR117:BX117" si="141">IFERROR(AVERAGE(BR19:BR22), "")</f>
        <v/>
      </c>
      <c r="BS117" s="121" t="str">
        <f t="shared" si="141"/>
        <v/>
      </c>
      <c r="BT117" s="115" t="str">
        <f t="shared" si="141"/>
        <v/>
      </c>
      <c r="BU117" s="121" t="str">
        <f t="shared" si="141"/>
        <v/>
      </c>
      <c r="BV117" s="115" t="str">
        <f t="shared" si="141"/>
        <v/>
      </c>
      <c r="BW117" s="121" t="str">
        <f t="shared" si="141"/>
        <v/>
      </c>
      <c r="BX117" s="122" t="str">
        <f t="shared" si="141"/>
        <v/>
      </c>
      <c r="BZ117" s="66"/>
      <c r="CA117" s="414" t="e">
        <f t="shared" si="135"/>
        <v>#N/A</v>
      </c>
      <c r="CB117" s="153">
        <f t="shared" ref="CB117:CB138" si="142">CB116</f>
        <v>60</v>
      </c>
      <c r="CM117" s="115"/>
      <c r="CN117" s="115"/>
      <c r="CO117" s="115"/>
      <c r="CP117" s="115"/>
      <c r="CQ117" s="115"/>
      <c r="CR117" s="115"/>
      <c r="CS117" s="115"/>
      <c r="CY117" s="120">
        <f>SUM(CY19:CY22)</f>
        <v>0</v>
      </c>
      <c r="CZ117" s="121">
        <f>SUM(CZ19:CZ22)</f>
        <v>0.4</v>
      </c>
      <c r="DA117" s="115">
        <f>SUM(DA19:DA22)</f>
        <v>0</v>
      </c>
      <c r="DB117" s="121">
        <f>SUM(DB19:DB22)</f>
        <v>0</v>
      </c>
      <c r="DC117" s="122">
        <f>SUM(DC19:DC22)</f>
        <v>0</v>
      </c>
    </row>
    <row r="118" spans="1:107" ht="15" x14ac:dyDescent="0.25">
      <c r="A118" s="190"/>
      <c r="B118" s="665"/>
      <c r="C118" s="666"/>
      <c r="D118" s="666"/>
      <c r="E118" s="666"/>
      <c r="F118" s="666"/>
      <c r="G118" s="666"/>
      <c r="H118" s="666"/>
      <c r="I118" s="666"/>
      <c r="J118" s="666"/>
      <c r="K118" s="666"/>
      <c r="L118" s="666"/>
      <c r="M118" s="666"/>
      <c r="N118" s="667"/>
      <c r="O118" s="666"/>
      <c r="P118" s="666"/>
      <c r="Q118" s="666"/>
      <c r="R118" s="666"/>
      <c r="S118" s="666"/>
      <c r="T118" s="666"/>
      <c r="U118" s="666"/>
      <c r="V118" s="666"/>
      <c r="W118" s="666"/>
      <c r="X118" s="666"/>
      <c r="Y118" s="666"/>
      <c r="Z118" s="666"/>
      <c r="AA118" s="666"/>
      <c r="AB118" s="666"/>
      <c r="AC118" s="668"/>
      <c r="AD118" s="668"/>
      <c r="AE118" s="666"/>
      <c r="AF118" s="668"/>
      <c r="AG118" s="666"/>
      <c r="AH118" s="668"/>
      <c r="AI118" s="666"/>
      <c r="AJ118" s="668"/>
      <c r="AP118" s="116">
        <f>SUM(AP23:AP26)</f>
        <v>0</v>
      </c>
      <c r="AR118" s="56">
        <f>AR23</f>
        <v>0.125</v>
      </c>
      <c r="AS118" s="117">
        <f>SUM(AS23:AS26)</f>
        <v>0</v>
      </c>
      <c r="AT118" s="116">
        <f>SUM(AT23:AT26)</f>
        <v>1.1428571428571428</v>
      </c>
      <c r="AU118" s="118">
        <f>SUM(AU23:AU26)</f>
        <v>0</v>
      </c>
      <c r="AV118" s="116">
        <f>SUM(AV23:AV26)</f>
        <v>0</v>
      </c>
      <c r="AW118" s="119">
        <f>SUM(AW23:AW26)</f>
        <v>0</v>
      </c>
      <c r="AY118" s="56">
        <f>AY23</f>
        <v>0.125</v>
      </c>
      <c r="AZ118" s="117">
        <f t="shared" ref="AZ118:BF118" si="143">IF(SUM(AZ23:AZ26)&gt;0, SUM(AZ23:AZ26), NA())</f>
        <v>2</v>
      </c>
      <c r="BA118" s="116">
        <f t="shared" si="143"/>
        <v>2</v>
      </c>
      <c r="BB118" s="118">
        <f t="shared" si="143"/>
        <v>1</v>
      </c>
      <c r="BC118" s="116">
        <f t="shared" si="143"/>
        <v>2</v>
      </c>
      <c r="BD118" s="118" t="e">
        <f t="shared" si="143"/>
        <v>#N/A</v>
      </c>
      <c r="BE118" s="116" t="e">
        <f t="shared" si="143"/>
        <v>#N/A</v>
      </c>
      <c r="BF118" s="119">
        <f t="shared" si="143"/>
        <v>1</v>
      </c>
      <c r="BH118" s="56">
        <f>BH23</f>
        <v>0.125</v>
      </c>
      <c r="BI118" s="120">
        <f t="shared" ref="BI118:BO118" si="144">IF(SUM(CM23:CM26)&lt;=0, NA(), SUM(CM23:CM26)/AZ118)</f>
        <v>39.549999999999997</v>
      </c>
      <c r="BJ118" s="121">
        <f t="shared" si="144"/>
        <v>43.85</v>
      </c>
      <c r="BK118" s="115">
        <f t="shared" si="144"/>
        <v>38</v>
      </c>
      <c r="BL118" s="121">
        <f t="shared" si="144"/>
        <v>40.700000000000003</v>
      </c>
      <c r="BM118" s="115" t="e">
        <f t="shared" si="144"/>
        <v>#N/A</v>
      </c>
      <c r="BN118" s="121" t="e">
        <f t="shared" si="144"/>
        <v>#N/A</v>
      </c>
      <c r="BO118" s="122">
        <f t="shared" si="144"/>
        <v>43.6</v>
      </c>
      <c r="BQ118" s="56">
        <f>BQ23</f>
        <v>0.125</v>
      </c>
      <c r="BR118" s="120" t="str">
        <f t="shared" ref="BR118:BX118" si="145">IFERROR(AVERAGE(BR23:BR26), "")</f>
        <v/>
      </c>
      <c r="BS118" s="121" t="str">
        <f t="shared" si="145"/>
        <v/>
      </c>
      <c r="BT118" s="115" t="str">
        <f t="shared" si="145"/>
        <v/>
      </c>
      <c r="BU118" s="121" t="str">
        <f t="shared" si="145"/>
        <v/>
      </c>
      <c r="BV118" s="115" t="str">
        <f t="shared" si="145"/>
        <v/>
      </c>
      <c r="BW118" s="121" t="str">
        <f t="shared" si="145"/>
        <v/>
      </c>
      <c r="BX118" s="122" t="str">
        <f t="shared" si="145"/>
        <v/>
      </c>
      <c r="BZ118" s="66"/>
      <c r="CA118" s="414" t="e">
        <f t="shared" si="135"/>
        <v>#N/A</v>
      </c>
      <c r="CB118" s="153">
        <f t="shared" si="142"/>
        <v>60</v>
      </c>
      <c r="CM118" s="115"/>
      <c r="CN118" s="115"/>
      <c r="CO118" s="115"/>
      <c r="CP118" s="115"/>
      <c r="CQ118" s="115"/>
      <c r="CR118" s="115"/>
      <c r="CS118" s="115"/>
      <c r="CY118" s="120">
        <f>SUM(CY23:CY26)</f>
        <v>0</v>
      </c>
      <c r="CZ118" s="121">
        <f>SUM(CZ23:CZ26)</f>
        <v>1.6</v>
      </c>
      <c r="DA118" s="115">
        <f>SUM(DA23:DA26)</f>
        <v>0</v>
      </c>
      <c r="DB118" s="121">
        <f>SUM(DB23:DB26)</f>
        <v>0</v>
      </c>
      <c r="DC118" s="122">
        <f>SUM(DC23:DC26)</f>
        <v>0</v>
      </c>
    </row>
    <row r="119" spans="1:107" ht="15" x14ac:dyDescent="0.25">
      <c r="A119" s="565" t="s">
        <v>251</v>
      </c>
      <c r="B119" s="568" t="s">
        <v>0</v>
      </c>
      <c r="C119" s="569" t="s">
        <v>442</v>
      </c>
      <c r="D119" s="569" t="s">
        <v>215</v>
      </c>
      <c r="E119" s="569" t="s">
        <v>443</v>
      </c>
      <c r="F119" s="569" t="s">
        <v>444</v>
      </c>
      <c r="G119" s="569" t="s">
        <v>445</v>
      </c>
      <c r="H119" s="569" t="s">
        <v>446</v>
      </c>
      <c r="I119" s="569" t="s">
        <v>447</v>
      </c>
      <c r="J119" s="569" t="s">
        <v>448</v>
      </c>
      <c r="K119" s="569" t="s">
        <v>449</v>
      </c>
      <c r="L119" s="569" t="s">
        <v>450</v>
      </c>
      <c r="M119" s="569"/>
      <c r="N119" s="584" t="s">
        <v>11</v>
      </c>
      <c r="O119" s="569" t="s">
        <v>268</v>
      </c>
      <c r="P119" s="569" t="s">
        <v>269</v>
      </c>
      <c r="Q119" s="569" t="s">
        <v>270</v>
      </c>
      <c r="R119" s="569" t="s">
        <v>271</v>
      </c>
      <c r="S119" s="569" t="s">
        <v>272</v>
      </c>
      <c r="T119" s="569" t="s">
        <v>273</v>
      </c>
      <c r="U119" s="569" t="s">
        <v>274</v>
      </c>
      <c r="V119" s="569" t="s">
        <v>275</v>
      </c>
      <c r="W119" s="569" t="s">
        <v>276</v>
      </c>
      <c r="X119" s="569" t="s">
        <v>277</v>
      </c>
      <c r="Y119" s="569" t="s">
        <v>278</v>
      </c>
      <c r="Z119" s="569" t="s">
        <v>279</v>
      </c>
      <c r="AA119" s="569" t="s">
        <v>280</v>
      </c>
      <c r="AB119" s="569" t="s">
        <v>281</v>
      </c>
      <c r="AC119" s="620" t="s">
        <v>258</v>
      </c>
      <c r="AD119" s="620" t="s">
        <v>13</v>
      </c>
      <c r="AE119" s="569" t="s">
        <v>166</v>
      </c>
      <c r="AF119" s="620" t="s">
        <v>259</v>
      </c>
      <c r="AG119" s="621" t="s">
        <v>260</v>
      </c>
      <c r="AH119" s="622" t="s">
        <v>261</v>
      </c>
      <c r="AI119" s="621" t="s">
        <v>262</v>
      </c>
      <c r="AJ119" s="623" t="s">
        <v>263</v>
      </c>
      <c r="AP119" s="116">
        <f>SUM(AP27:AP30)</f>
        <v>0</v>
      </c>
      <c r="AR119" s="56">
        <f>AR27</f>
        <v>0.16666666666666663</v>
      </c>
      <c r="AS119" s="117">
        <f>SUM(AS27:AS30)</f>
        <v>0</v>
      </c>
      <c r="AT119" s="116">
        <f>SUM(AT27:AT30)</f>
        <v>0.71428571428571419</v>
      </c>
      <c r="AU119" s="118">
        <f>SUM(AU27:AU30)</f>
        <v>0</v>
      </c>
      <c r="AV119" s="116">
        <f>SUM(AV27:AV30)</f>
        <v>0</v>
      </c>
      <c r="AW119" s="119">
        <f>SUM(AW27:AW30)</f>
        <v>0</v>
      </c>
      <c r="AY119" s="56">
        <f>AY27</f>
        <v>0.16666666666666663</v>
      </c>
      <c r="AZ119" s="117" t="e">
        <f t="shared" ref="AZ119:BF119" si="146">IF(SUM(AZ27:AZ30)&gt;0, SUM(AZ27:AZ30), NA())</f>
        <v>#N/A</v>
      </c>
      <c r="BA119" s="116">
        <f t="shared" si="146"/>
        <v>1</v>
      </c>
      <c r="BB119" s="118">
        <f t="shared" si="146"/>
        <v>1</v>
      </c>
      <c r="BC119" s="116">
        <f t="shared" si="146"/>
        <v>1</v>
      </c>
      <c r="BD119" s="118">
        <f t="shared" si="146"/>
        <v>1</v>
      </c>
      <c r="BE119" s="116">
        <f t="shared" si="146"/>
        <v>1</v>
      </c>
      <c r="BF119" s="119" t="e">
        <f t="shared" si="146"/>
        <v>#N/A</v>
      </c>
      <c r="BH119" s="56">
        <f>BH27</f>
        <v>0.16666666666666663</v>
      </c>
      <c r="BI119" s="120" t="e">
        <f t="shared" ref="BI119:BO119" si="147">IF(SUM(CM27:CM30)&lt;=0, NA(), SUM(CM27:CM30)/AZ119)</f>
        <v>#N/A</v>
      </c>
      <c r="BJ119" s="121">
        <f t="shared" si="147"/>
        <v>53.6</v>
      </c>
      <c r="BK119" s="115">
        <f t="shared" si="147"/>
        <v>37.299999999999997</v>
      </c>
      <c r="BL119" s="121">
        <f t="shared" si="147"/>
        <v>48.1</v>
      </c>
      <c r="BM119" s="115">
        <f t="shared" si="147"/>
        <v>39.299999999999997</v>
      </c>
      <c r="BN119" s="121">
        <f t="shared" si="147"/>
        <v>47.2</v>
      </c>
      <c r="BO119" s="122" t="e">
        <f t="shared" si="147"/>
        <v>#N/A</v>
      </c>
      <c r="BQ119" s="56">
        <f>BQ27</f>
        <v>0.16666666666666663</v>
      </c>
      <c r="BR119" s="120" t="str">
        <f t="shared" ref="BR119:BX119" si="148">IFERROR(AVERAGE(BR27:BR30), "")</f>
        <v/>
      </c>
      <c r="BS119" s="121" t="str">
        <f t="shared" si="148"/>
        <v/>
      </c>
      <c r="BT119" s="115" t="str">
        <f t="shared" si="148"/>
        <v/>
      </c>
      <c r="BU119" s="121" t="str">
        <f t="shared" si="148"/>
        <v/>
      </c>
      <c r="BV119" s="115" t="str">
        <f t="shared" si="148"/>
        <v/>
      </c>
      <c r="BW119" s="121" t="str">
        <f t="shared" si="148"/>
        <v/>
      </c>
      <c r="BX119" s="122" t="str">
        <f t="shared" si="148"/>
        <v/>
      </c>
      <c r="BZ119" s="66"/>
      <c r="CA119" s="414" t="e">
        <f t="shared" si="135"/>
        <v>#N/A</v>
      </c>
      <c r="CB119" s="153">
        <f t="shared" si="142"/>
        <v>60</v>
      </c>
      <c r="CM119" s="115"/>
      <c r="CN119" s="115"/>
      <c r="CO119" s="115"/>
      <c r="CP119" s="115"/>
      <c r="CQ119" s="115"/>
      <c r="CR119" s="115"/>
      <c r="CS119" s="115"/>
      <c r="CY119" s="120">
        <f>SUM(CY27:CY30)</f>
        <v>0</v>
      </c>
      <c r="CZ119" s="121">
        <f>SUM(CZ27:CZ30)</f>
        <v>0.60000000000000009</v>
      </c>
      <c r="DA119" s="115">
        <f>SUM(DA27:DA30)</f>
        <v>0</v>
      </c>
      <c r="DB119" s="121">
        <f>SUM(DB27:DB30)</f>
        <v>0</v>
      </c>
      <c r="DC119" s="122">
        <f>SUM(DC27:DC30)</f>
        <v>0</v>
      </c>
    </row>
    <row r="120" spans="1:107" ht="15" x14ac:dyDescent="0.25">
      <c r="A120" s="190" t="s">
        <v>24</v>
      </c>
      <c r="B120" s="571" t="s">
        <v>24</v>
      </c>
      <c r="C120" s="179" t="s">
        <v>25</v>
      </c>
      <c r="D120" s="179" t="s">
        <v>26</v>
      </c>
      <c r="E120" s="179" t="s">
        <v>27</v>
      </c>
      <c r="F120" s="179" t="s">
        <v>28</v>
      </c>
      <c r="G120" s="179" t="s">
        <v>29</v>
      </c>
      <c r="H120" s="179" t="s">
        <v>30</v>
      </c>
      <c r="I120" s="179" t="s">
        <v>31</v>
      </c>
      <c r="J120" s="179" t="s">
        <v>32</v>
      </c>
      <c r="K120" s="179" t="s">
        <v>33</v>
      </c>
      <c r="L120" s="179" t="s">
        <v>34</v>
      </c>
      <c r="M120" s="179" t="s">
        <v>24</v>
      </c>
      <c r="N120" s="585" t="s">
        <v>24</v>
      </c>
      <c r="O120" s="179" t="s">
        <v>451</v>
      </c>
      <c r="P120" s="179" t="s">
        <v>34</v>
      </c>
      <c r="Q120" s="179" t="s">
        <v>452</v>
      </c>
      <c r="R120" s="179" t="s">
        <v>453</v>
      </c>
      <c r="S120" s="179" t="s">
        <v>454</v>
      </c>
      <c r="T120" s="179" t="s">
        <v>455</v>
      </c>
      <c r="U120" s="179" t="s">
        <v>456</v>
      </c>
      <c r="V120" s="179" t="s">
        <v>457</v>
      </c>
      <c r="W120" s="179" t="s">
        <v>458</v>
      </c>
      <c r="X120" s="179" t="s">
        <v>459</v>
      </c>
      <c r="Y120" s="179" t="s">
        <v>460</v>
      </c>
      <c r="Z120" s="179" t="s">
        <v>461</v>
      </c>
      <c r="AA120" s="179" t="s">
        <v>462</v>
      </c>
      <c r="AB120" s="179" t="s">
        <v>463</v>
      </c>
      <c r="AC120" s="180"/>
      <c r="AD120" s="180">
        <v>0</v>
      </c>
      <c r="AE120" s="179">
        <v>60</v>
      </c>
      <c r="AF120" s="179">
        <v>60</v>
      </c>
      <c r="AG120" s="225">
        <v>65</v>
      </c>
      <c r="AH120" s="225">
        <v>65</v>
      </c>
      <c r="AI120" s="225">
        <v>75</v>
      </c>
      <c r="AJ120" s="624">
        <v>75</v>
      </c>
      <c r="AP120" s="116">
        <f>SUM(AP31:AP34)</f>
        <v>4</v>
      </c>
      <c r="AR120" s="56">
        <f>AR31</f>
        <v>0.20833333333333326</v>
      </c>
      <c r="AS120" s="117">
        <f>SUM(AS31:AS34)</f>
        <v>0</v>
      </c>
      <c r="AT120" s="116">
        <f>SUM(AT31:AT34)</f>
        <v>1.857142857142857</v>
      </c>
      <c r="AU120" s="118">
        <f>SUM(AU31:AU34)</f>
        <v>0.5714285714285714</v>
      </c>
      <c r="AV120" s="116">
        <f>SUM(AV31:AV34)</f>
        <v>0</v>
      </c>
      <c r="AW120" s="119">
        <f>SUM(AW31:AW34)</f>
        <v>0</v>
      </c>
      <c r="AY120" s="56">
        <f>AY31</f>
        <v>0.20833333333333326</v>
      </c>
      <c r="AZ120" s="117">
        <f t="shared" ref="AZ120:BF120" si="149">IF(SUM(AZ31:AZ34)&gt;0, SUM(AZ31:AZ34), NA())</f>
        <v>4</v>
      </c>
      <c r="BA120" s="116">
        <f t="shared" si="149"/>
        <v>3</v>
      </c>
      <c r="BB120" s="118">
        <f t="shared" si="149"/>
        <v>2</v>
      </c>
      <c r="BC120" s="116">
        <f t="shared" si="149"/>
        <v>5</v>
      </c>
      <c r="BD120" s="118" t="e">
        <f t="shared" si="149"/>
        <v>#N/A</v>
      </c>
      <c r="BE120" s="116">
        <f t="shared" si="149"/>
        <v>1</v>
      </c>
      <c r="BF120" s="119">
        <f t="shared" si="149"/>
        <v>2</v>
      </c>
      <c r="BH120" s="56">
        <f>BH31</f>
        <v>0.20833333333333326</v>
      </c>
      <c r="BI120" s="120">
        <f t="shared" ref="BI120:BO120" si="150">IF(SUM(CM31:CM34)&lt;=0, NA(), SUM(CM31:CM34)/AZ120)</f>
        <v>45</v>
      </c>
      <c r="BJ120" s="121">
        <f t="shared" si="150"/>
        <v>39.266666666666666</v>
      </c>
      <c r="BK120" s="115">
        <f t="shared" si="150"/>
        <v>39.5</v>
      </c>
      <c r="BL120" s="121">
        <f t="shared" si="150"/>
        <v>51.7</v>
      </c>
      <c r="BM120" s="115" t="e">
        <f t="shared" si="150"/>
        <v>#N/A</v>
      </c>
      <c r="BN120" s="121">
        <f t="shared" si="150"/>
        <v>29.6</v>
      </c>
      <c r="BO120" s="122">
        <f t="shared" si="150"/>
        <v>47</v>
      </c>
      <c r="BQ120" s="56">
        <f>BQ31</f>
        <v>0.20833333333333326</v>
      </c>
      <c r="BR120" s="120" t="str">
        <f t="shared" ref="BR120:BX120" si="151">IFERROR(AVERAGE(BR31:BR34), "")</f>
        <v/>
      </c>
      <c r="BS120" s="121" t="str">
        <f t="shared" si="151"/>
        <v/>
      </c>
      <c r="BT120" s="115" t="str">
        <f t="shared" si="151"/>
        <v/>
      </c>
      <c r="BU120" s="121" t="str">
        <f t="shared" si="151"/>
        <v/>
      </c>
      <c r="BV120" s="115" t="str">
        <f t="shared" si="151"/>
        <v/>
      </c>
      <c r="BW120" s="121" t="str">
        <f t="shared" si="151"/>
        <v/>
      </c>
      <c r="BX120" s="122" t="str">
        <f t="shared" si="151"/>
        <v/>
      </c>
      <c r="BZ120" s="66"/>
      <c r="CA120" s="414" t="e">
        <f t="shared" si="135"/>
        <v>#N/A</v>
      </c>
      <c r="CB120" s="153">
        <f t="shared" si="142"/>
        <v>60</v>
      </c>
      <c r="CM120" s="115"/>
      <c r="CN120" s="115"/>
      <c r="CO120" s="115"/>
      <c r="CP120" s="115"/>
      <c r="CQ120" s="115"/>
      <c r="CR120" s="115"/>
      <c r="CS120" s="115"/>
      <c r="CY120" s="120">
        <f>SUM(CY31:CY34)</f>
        <v>0</v>
      </c>
      <c r="CZ120" s="121">
        <f>SUM(CZ31:CZ34)</f>
        <v>2.4000000000000004</v>
      </c>
      <c r="DA120" s="115">
        <f>SUM(DA31:DA34)</f>
        <v>0.8</v>
      </c>
      <c r="DB120" s="121">
        <f>SUM(DB31:DB34)</f>
        <v>0</v>
      </c>
      <c r="DC120" s="122">
        <f>SUM(DC31:DC34)</f>
        <v>0</v>
      </c>
    </row>
    <row r="121" spans="1:107" ht="15.75" thickBot="1" x14ac:dyDescent="0.3">
      <c r="A121" s="190" t="s">
        <v>24</v>
      </c>
      <c r="B121" s="571" t="s">
        <v>24</v>
      </c>
      <c r="C121" s="574" t="s">
        <v>24</v>
      </c>
      <c r="D121" s="574" t="s">
        <v>24</v>
      </c>
      <c r="E121" s="574" t="s">
        <v>24</v>
      </c>
      <c r="F121" s="574" t="s">
        <v>24</v>
      </c>
      <c r="G121" s="574" t="s">
        <v>24</v>
      </c>
      <c r="H121" s="574" t="s">
        <v>24</v>
      </c>
      <c r="I121" s="574" t="s">
        <v>24</v>
      </c>
      <c r="J121" s="574" t="s">
        <v>24</v>
      </c>
      <c r="K121" s="574" t="s">
        <v>24</v>
      </c>
      <c r="L121" s="574" t="s">
        <v>24</v>
      </c>
      <c r="M121" s="574" t="s">
        <v>24</v>
      </c>
      <c r="N121" s="586" t="s">
        <v>24</v>
      </c>
      <c r="O121" s="574" t="s">
        <v>34</v>
      </c>
      <c r="P121" s="574" t="s">
        <v>452</v>
      </c>
      <c r="Q121" s="574" t="s">
        <v>453</v>
      </c>
      <c r="R121" s="574" t="s">
        <v>454</v>
      </c>
      <c r="S121" s="574" t="s">
        <v>455</v>
      </c>
      <c r="T121" s="574" t="s">
        <v>456</v>
      </c>
      <c r="U121" s="574" t="s">
        <v>457</v>
      </c>
      <c r="V121" s="574" t="s">
        <v>458</v>
      </c>
      <c r="W121" s="574" t="s">
        <v>459</v>
      </c>
      <c r="X121" s="574" t="s">
        <v>460</v>
      </c>
      <c r="Y121" s="574" t="s">
        <v>461</v>
      </c>
      <c r="Z121" s="574" t="s">
        <v>462</v>
      </c>
      <c r="AA121" s="574" t="s">
        <v>463</v>
      </c>
      <c r="AB121" s="574" t="s">
        <v>464</v>
      </c>
      <c r="AC121" s="625"/>
      <c r="AD121" s="625"/>
      <c r="AE121" s="574"/>
      <c r="AF121" s="625"/>
      <c r="AG121" s="626" t="s">
        <v>35</v>
      </c>
      <c r="AH121" s="627" t="s">
        <v>35</v>
      </c>
      <c r="AI121" s="626" t="s">
        <v>36</v>
      </c>
      <c r="AJ121" s="628" t="s">
        <v>36</v>
      </c>
      <c r="AP121" s="116">
        <f>SUM(AP35:AP38)</f>
        <v>6</v>
      </c>
      <c r="AR121" s="56">
        <f>AR35</f>
        <v>0.24999999999999989</v>
      </c>
      <c r="AS121" s="117">
        <f>SUM(AS35:AS38)</f>
        <v>0.5714285714285714</v>
      </c>
      <c r="AT121" s="116">
        <f>SUM(AT35:AT38)</f>
        <v>7.5714285714285721</v>
      </c>
      <c r="AU121" s="118">
        <f>SUM(AU35:AU38)</f>
        <v>0.85714285714285698</v>
      </c>
      <c r="AV121" s="116">
        <f>SUM(AV35:AV38)</f>
        <v>0</v>
      </c>
      <c r="AW121" s="119">
        <f>SUM(AW35:AW38)</f>
        <v>0</v>
      </c>
      <c r="AY121" s="56">
        <f>AY35</f>
        <v>0.24999999999999989</v>
      </c>
      <c r="AZ121" s="117">
        <f t="shared" ref="AZ121:BF121" si="152">IF(SUM(AZ35:AZ38)&gt;0, SUM(AZ35:AZ38), NA())</f>
        <v>11</v>
      </c>
      <c r="BA121" s="116">
        <f t="shared" si="152"/>
        <v>10</v>
      </c>
      <c r="BB121" s="118">
        <f t="shared" si="152"/>
        <v>12</v>
      </c>
      <c r="BC121" s="116">
        <f t="shared" si="152"/>
        <v>13</v>
      </c>
      <c r="BD121" s="118">
        <f t="shared" si="152"/>
        <v>3</v>
      </c>
      <c r="BE121" s="116">
        <f t="shared" si="152"/>
        <v>3</v>
      </c>
      <c r="BF121" s="119">
        <f t="shared" si="152"/>
        <v>11</v>
      </c>
      <c r="BH121" s="56">
        <f>BH35</f>
        <v>0.24999999999999989</v>
      </c>
      <c r="BI121" s="120">
        <f t="shared" ref="BI121:BO121" si="153">IF(SUM(CM35:CM38)&lt;=0, NA(), SUM(CM35:CM38)/AZ121)</f>
        <v>38.563636363636363</v>
      </c>
      <c r="BJ121" s="121">
        <f t="shared" si="153"/>
        <v>47.32</v>
      </c>
      <c r="BK121" s="115">
        <f t="shared" si="153"/>
        <v>41.491666666666667</v>
      </c>
      <c r="BL121" s="121">
        <f t="shared" si="153"/>
        <v>45.45384615384615</v>
      </c>
      <c r="BM121" s="115">
        <f t="shared" si="153"/>
        <v>33.9</v>
      </c>
      <c r="BN121" s="121">
        <f t="shared" si="153"/>
        <v>42.633333333333333</v>
      </c>
      <c r="BO121" s="122">
        <f t="shared" si="153"/>
        <v>42</v>
      </c>
      <c r="BQ121" s="56">
        <f>BQ35</f>
        <v>0.24999999999999989</v>
      </c>
      <c r="BR121" s="120" t="str">
        <f t="shared" ref="BR121:BX121" si="154">IFERROR(AVERAGE(BR35:BR38), "")</f>
        <v/>
      </c>
      <c r="BS121" s="121" t="str">
        <f t="shared" si="154"/>
        <v/>
      </c>
      <c r="BT121" s="115" t="str">
        <f t="shared" si="154"/>
        <v/>
      </c>
      <c r="BU121" s="121" t="str">
        <f t="shared" si="154"/>
        <v/>
      </c>
      <c r="BV121" s="115" t="str">
        <f t="shared" si="154"/>
        <v/>
      </c>
      <c r="BW121" s="121" t="str">
        <f t="shared" si="154"/>
        <v/>
      </c>
      <c r="BX121" s="122" t="str">
        <f t="shared" si="154"/>
        <v/>
      </c>
      <c r="BZ121" s="66"/>
      <c r="CA121" s="414" t="e">
        <f t="shared" si="135"/>
        <v>#N/A</v>
      </c>
      <c r="CB121" s="153">
        <f t="shared" si="142"/>
        <v>60</v>
      </c>
      <c r="CM121" s="115"/>
      <c r="CN121" s="115"/>
      <c r="CO121" s="115"/>
      <c r="CP121" s="115"/>
      <c r="CQ121" s="115"/>
      <c r="CR121" s="115"/>
      <c r="CS121" s="115"/>
      <c r="CY121" s="120">
        <f>SUM(CY35:CY38)</f>
        <v>0.6</v>
      </c>
      <c r="CZ121" s="121">
        <f>SUM(CZ35:CZ38)</f>
        <v>10</v>
      </c>
      <c r="DA121" s="115">
        <f>SUM(DA35:DA38)</f>
        <v>0.8</v>
      </c>
      <c r="DB121" s="121">
        <f>SUM(DB35:DB38)</f>
        <v>0</v>
      </c>
      <c r="DC121" s="122">
        <f>SUM(DC35:DC38)</f>
        <v>0</v>
      </c>
    </row>
    <row r="122" spans="1:107" ht="15.75" thickBot="1" x14ac:dyDescent="0.3">
      <c r="A122" s="190" t="s">
        <v>37</v>
      </c>
      <c r="B122" s="691">
        <v>1</v>
      </c>
      <c r="C122" s="567">
        <v>0</v>
      </c>
      <c r="D122" s="186">
        <v>1</v>
      </c>
      <c r="E122" s="186">
        <v>0</v>
      </c>
      <c r="F122" s="186">
        <v>0</v>
      </c>
      <c r="G122" s="186">
        <v>0</v>
      </c>
      <c r="H122" s="186">
        <v>0</v>
      </c>
      <c r="I122" s="186">
        <v>0</v>
      </c>
      <c r="J122" s="186">
        <v>0</v>
      </c>
      <c r="K122" s="186">
        <v>0</v>
      </c>
      <c r="L122" s="186">
        <v>0</v>
      </c>
      <c r="M122" s="656" t="s">
        <v>24</v>
      </c>
      <c r="N122" s="669" t="s">
        <v>37</v>
      </c>
      <c r="O122" s="646">
        <v>0</v>
      </c>
      <c r="P122" s="186">
        <v>0</v>
      </c>
      <c r="Q122" s="186">
        <v>0</v>
      </c>
      <c r="R122" s="186">
        <v>0</v>
      </c>
      <c r="S122" s="186">
        <v>0</v>
      </c>
      <c r="T122" s="186">
        <v>0</v>
      </c>
      <c r="U122" s="186">
        <v>0</v>
      </c>
      <c r="V122" s="186">
        <v>1</v>
      </c>
      <c r="W122" s="186">
        <v>0</v>
      </c>
      <c r="X122" s="186">
        <v>0</v>
      </c>
      <c r="Y122" s="186">
        <v>0</v>
      </c>
      <c r="Z122" s="186">
        <v>0</v>
      </c>
      <c r="AA122" s="186">
        <v>0</v>
      </c>
      <c r="AB122" s="186">
        <v>0</v>
      </c>
      <c r="AC122" s="187">
        <v>41.4</v>
      </c>
      <c r="AD122" s="187" t="s">
        <v>24</v>
      </c>
      <c r="AE122" s="186">
        <v>0</v>
      </c>
      <c r="AF122" s="187">
        <v>0</v>
      </c>
      <c r="AG122" s="186">
        <v>0</v>
      </c>
      <c r="AH122" s="187">
        <v>0</v>
      </c>
      <c r="AI122" s="186">
        <v>0</v>
      </c>
      <c r="AJ122" s="647">
        <v>0</v>
      </c>
      <c r="AP122" s="116">
        <f>SUM(AP39:AP42)</f>
        <v>22</v>
      </c>
      <c r="AR122" s="56">
        <f>AR39</f>
        <v>0.29166666666666663</v>
      </c>
      <c r="AS122" s="123">
        <f>SUM(AS39:AS42)</f>
        <v>1.5714285714285714</v>
      </c>
      <c r="AT122" s="106">
        <f>SUM(AT39:AT42)</f>
        <v>24.714285714285715</v>
      </c>
      <c r="AU122" s="124">
        <f>SUM(AU39:AU42)</f>
        <v>3.1428571428571428</v>
      </c>
      <c r="AV122" s="106">
        <f>SUM(AV39:AV42)</f>
        <v>0</v>
      </c>
      <c r="AW122" s="125">
        <f>SUM(AW39:AW42)</f>
        <v>0</v>
      </c>
      <c r="AY122" s="56">
        <f>AY39</f>
        <v>0.29166666666666663</v>
      </c>
      <c r="AZ122" s="123">
        <f t="shared" ref="AZ122:BF122" si="155">IF(SUM(AZ39:AZ42)&gt;0, SUM(AZ39:AZ42), NA())</f>
        <v>36</v>
      </c>
      <c r="BA122" s="106">
        <f t="shared" si="155"/>
        <v>34</v>
      </c>
      <c r="BB122" s="124">
        <f t="shared" si="155"/>
        <v>34</v>
      </c>
      <c r="BC122" s="106">
        <f t="shared" si="155"/>
        <v>35</v>
      </c>
      <c r="BD122" s="124">
        <f t="shared" si="155"/>
        <v>24</v>
      </c>
      <c r="BE122" s="106">
        <f t="shared" si="155"/>
        <v>9</v>
      </c>
      <c r="BF122" s="125">
        <f t="shared" si="155"/>
        <v>34</v>
      </c>
      <c r="BH122" s="56">
        <f>BH39</f>
        <v>0.29166666666666663</v>
      </c>
      <c r="BI122" s="126">
        <f t="shared" ref="BI122:BO122" si="156">IF(SUM(CM39:CM42)&lt;=0, NA(), SUM(CM39:CM42)/AZ122)</f>
        <v>43.586111111111109</v>
      </c>
      <c r="BJ122" s="127">
        <f t="shared" si="156"/>
        <v>42.114705882352943</v>
      </c>
      <c r="BK122" s="128">
        <f t="shared" si="156"/>
        <v>42.805882352941182</v>
      </c>
      <c r="BL122" s="127">
        <f t="shared" si="156"/>
        <v>42.928571428571431</v>
      </c>
      <c r="BM122" s="128">
        <f t="shared" si="156"/>
        <v>45.591666666666669</v>
      </c>
      <c r="BN122" s="127">
        <f t="shared" si="156"/>
        <v>44.544444444444444</v>
      </c>
      <c r="BO122" s="129">
        <f t="shared" si="156"/>
        <v>44.923529411764711</v>
      </c>
      <c r="BQ122" s="56">
        <f>BQ39</f>
        <v>0.29166666666666663</v>
      </c>
      <c r="BR122" s="126">
        <f t="shared" ref="BR122:BX122" si="157">IFERROR(AVERAGE(BR39:BR42), "")</f>
        <v>57.2</v>
      </c>
      <c r="BS122" s="127">
        <f t="shared" si="157"/>
        <v>48.4</v>
      </c>
      <c r="BT122" s="128">
        <f t="shared" si="157"/>
        <v>56.2</v>
      </c>
      <c r="BU122" s="127">
        <f t="shared" si="157"/>
        <v>58.1</v>
      </c>
      <c r="BV122" s="128" t="str">
        <f t="shared" si="157"/>
        <v/>
      </c>
      <c r="BW122" s="127" t="str">
        <f t="shared" si="157"/>
        <v/>
      </c>
      <c r="BX122" s="129">
        <f t="shared" si="157"/>
        <v>59.6</v>
      </c>
      <c r="BZ122" s="66"/>
      <c r="CA122" s="414">
        <f t="shared" si="135"/>
        <v>55.9</v>
      </c>
      <c r="CB122" s="153">
        <f t="shared" si="142"/>
        <v>60</v>
      </c>
      <c r="CM122" s="115"/>
      <c r="CN122" s="115"/>
      <c r="CO122" s="115"/>
      <c r="CP122" s="115"/>
      <c r="CQ122" s="115"/>
      <c r="CR122" s="115"/>
      <c r="CS122" s="115"/>
      <c r="CY122" s="126">
        <f>SUM(CY39:CY42)</f>
        <v>2</v>
      </c>
      <c r="CZ122" s="127">
        <f>SUM(CZ39:CZ42)</f>
        <v>28.200000000000003</v>
      </c>
      <c r="DA122" s="128">
        <f>SUM(DA39:DA42)</f>
        <v>4.4000000000000004</v>
      </c>
      <c r="DB122" s="127">
        <f>SUM(DB39:DB42)</f>
        <v>0</v>
      </c>
      <c r="DC122" s="129">
        <f>SUM(DC39:DC42)</f>
        <v>0</v>
      </c>
    </row>
    <row r="123" spans="1:107" ht="15" x14ac:dyDescent="0.25">
      <c r="A123" s="190" t="s">
        <v>38</v>
      </c>
      <c r="B123" s="646">
        <v>0</v>
      </c>
      <c r="C123" s="184">
        <v>0</v>
      </c>
      <c r="D123" s="184">
        <v>0</v>
      </c>
      <c r="E123" s="184">
        <v>0</v>
      </c>
      <c r="F123" s="184">
        <v>0</v>
      </c>
      <c r="G123" s="184">
        <v>0</v>
      </c>
      <c r="H123" s="184">
        <v>0</v>
      </c>
      <c r="I123" s="184">
        <v>0</v>
      </c>
      <c r="J123" s="184">
        <v>0</v>
      </c>
      <c r="K123" s="184">
        <v>0</v>
      </c>
      <c r="L123" s="184">
        <v>0</v>
      </c>
      <c r="M123" s="654" t="s">
        <v>24</v>
      </c>
      <c r="N123" s="669" t="s">
        <v>38</v>
      </c>
      <c r="O123" s="642">
        <v>0</v>
      </c>
      <c r="P123" s="184">
        <v>0</v>
      </c>
      <c r="Q123" s="184">
        <v>0</v>
      </c>
      <c r="R123" s="184">
        <v>0</v>
      </c>
      <c r="S123" s="184">
        <v>0</v>
      </c>
      <c r="T123" s="184">
        <v>0</v>
      </c>
      <c r="U123" s="184">
        <v>0</v>
      </c>
      <c r="V123" s="184">
        <v>0</v>
      </c>
      <c r="W123" s="184">
        <v>0</v>
      </c>
      <c r="X123" s="184">
        <v>0</v>
      </c>
      <c r="Y123" s="184">
        <v>0</v>
      </c>
      <c r="Z123" s="184">
        <v>0</v>
      </c>
      <c r="AA123" s="184">
        <v>0</v>
      </c>
      <c r="AB123" s="184">
        <v>0</v>
      </c>
      <c r="AC123" s="185" t="s">
        <v>24</v>
      </c>
      <c r="AD123" s="185" t="s">
        <v>24</v>
      </c>
      <c r="AE123" s="184">
        <v>0</v>
      </c>
      <c r="AF123" s="185">
        <v>0</v>
      </c>
      <c r="AG123" s="184">
        <v>0</v>
      </c>
      <c r="AH123" s="185">
        <v>0</v>
      </c>
      <c r="AI123" s="184">
        <v>0</v>
      </c>
      <c r="AJ123" s="643">
        <v>0</v>
      </c>
      <c r="AP123" s="116">
        <f>SUM(AP43:AP46)</f>
        <v>28</v>
      </c>
      <c r="AR123" s="56">
        <f>AR43</f>
        <v>0.33333333333333337</v>
      </c>
      <c r="AS123" s="117">
        <f>SUM(AS43:AS46)</f>
        <v>0.2857142857142857</v>
      </c>
      <c r="AT123" s="116">
        <f>SUM(AT43:AT46)</f>
        <v>25</v>
      </c>
      <c r="AU123" s="118">
        <f>SUM(AU43:AU46)</f>
        <v>4.2857142857142856</v>
      </c>
      <c r="AV123" s="116">
        <f>SUM(AV43:AV46)</f>
        <v>0.14285714285714285</v>
      </c>
      <c r="AW123" s="119">
        <f>SUM(AW43:AW46)</f>
        <v>0</v>
      </c>
      <c r="AY123" s="56">
        <f>AY43</f>
        <v>0.33333333333333337</v>
      </c>
      <c r="AZ123" s="117">
        <f t="shared" ref="AZ123:BF123" si="158">IF(SUM(AZ43:AZ46)&gt;0, SUM(AZ43:AZ46), NA())</f>
        <v>37</v>
      </c>
      <c r="BA123" s="116">
        <f t="shared" si="158"/>
        <v>39</v>
      </c>
      <c r="BB123" s="118">
        <f t="shared" si="158"/>
        <v>27</v>
      </c>
      <c r="BC123" s="116">
        <f t="shared" si="158"/>
        <v>35</v>
      </c>
      <c r="BD123" s="118">
        <f t="shared" si="158"/>
        <v>21</v>
      </c>
      <c r="BE123" s="116">
        <f t="shared" si="158"/>
        <v>12</v>
      </c>
      <c r="BF123" s="119">
        <f t="shared" si="158"/>
        <v>37</v>
      </c>
      <c r="BH123" s="56">
        <f>BH43</f>
        <v>0.33333333333333337</v>
      </c>
      <c r="BI123" s="120">
        <f t="shared" ref="BI123:BO123" si="159">IF(SUM(CM43:CM46)&lt;=0, NA(), SUM(CM43:CM46)/AZ123)</f>
        <v>39.5</v>
      </c>
      <c r="BJ123" s="121">
        <f t="shared" si="159"/>
        <v>39.4</v>
      </c>
      <c r="BK123" s="115">
        <f t="shared" si="159"/>
        <v>44.325925925925922</v>
      </c>
      <c r="BL123" s="121">
        <f t="shared" si="159"/>
        <v>35.54</v>
      </c>
      <c r="BM123" s="115">
        <f t="shared" si="159"/>
        <v>40.576190476190476</v>
      </c>
      <c r="BN123" s="121">
        <f t="shared" si="159"/>
        <v>35.283333333333331</v>
      </c>
      <c r="BO123" s="122">
        <f t="shared" si="159"/>
        <v>40.548648648648651</v>
      </c>
      <c r="BQ123" s="56">
        <f>BQ43</f>
        <v>0.33333333333333337</v>
      </c>
      <c r="BR123" s="120">
        <f t="shared" ref="BR123:BX123" si="160">IFERROR(AVERAGE(BR43:BR46), "")</f>
        <v>45.25</v>
      </c>
      <c r="BS123" s="121">
        <f t="shared" si="160"/>
        <v>46.4</v>
      </c>
      <c r="BT123" s="115">
        <f t="shared" si="160"/>
        <v>57.4</v>
      </c>
      <c r="BU123" s="121">
        <f t="shared" si="160"/>
        <v>47.8</v>
      </c>
      <c r="BV123" s="115" t="str">
        <f t="shared" si="160"/>
        <v/>
      </c>
      <c r="BW123" s="121" t="str">
        <f t="shared" si="160"/>
        <v/>
      </c>
      <c r="BX123" s="122">
        <f t="shared" si="160"/>
        <v>51.8</v>
      </c>
      <c r="BZ123" s="66"/>
      <c r="CA123" s="414">
        <f t="shared" si="135"/>
        <v>49.730000000000004</v>
      </c>
      <c r="CB123" s="153">
        <f t="shared" si="142"/>
        <v>60</v>
      </c>
      <c r="CM123" s="115"/>
      <c r="CN123" s="115"/>
      <c r="CO123" s="115"/>
      <c r="CP123" s="115"/>
      <c r="CQ123" s="115"/>
      <c r="CR123" s="115"/>
      <c r="CS123" s="115"/>
      <c r="CY123" s="120">
        <f>SUM(CY43:CY46)</f>
        <v>0.2</v>
      </c>
      <c r="CZ123" s="121">
        <f>SUM(CZ43:CZ46)</f>
        <v>29.4</v>
      </c>
      <c r="DA123" s="115">
        <f>SUM(DA43:DA46)</f>
        <v>5.1999999999999993</v>
      </c>
      <c r="DB123" s="121">
        <f>SUM(DB43:DB46)</f>
        <v>0.2</v>
      </c>
      <c r="DC123" s="122">
        <f>SUM(DC43:DC46)</f>
        <v>0</v>
      </c>
    </row>
    <row r="124" spans="1:107" ht="15" x14ac:dyDescent="0.25">
      <c r="A124" s="190" t="s">
        <v>40</v>
      </c>
      <c r="B124" s="642">
        <v>2</v>
      </c>
      <c r="C124" s="184">
        <v>0</v>
      </c>
      <c r="D124" s="184">
        <v>2</v>
      </c>
      <c r="E124" s="184">
        <v>0</v>
      </c>
      <c r="F124" s="184">
        <v>0</v>
      </c>
      <c r="G124" s="184">
        <v>0</v>
      </c>
      <c r="H124" s="184">
        <v>0</v>
      </c>
      <c r="I124" s="184">
        <v>0</v>
      </c>
      <c r="J124" s="184">
        <v>0</v>
      </c>
      <c r="K124" s="184">
        <v>0</v>
      </c>
      <c r="L124" s="184">
        <v>0</v>
      </c>
      <c r="M124" s="654" t="s">
        <v>24</v>
      </c>
      <c r="N124" s="669" t="s">
        <v>40</v>
      </c>
      <c r="O124" s="642">
        <v>0</v>
      </c>
      <c r="P124" s="184">
        <v>0</v>
      </c>
      <c r="Q124" s="184">
        <v>0</v>
      </c>
      <c r="R124" s="184">
        <v>0</v>
      </c>
      <c r="S124" s="184">
        <v>0</v>
      </c>
      <c r="T124" s="184">
        <v>0</v>
      </c>
      <c r="U124" s="184">
        <v>1</v>
      </c>
      <c r="V124" s="184">
        <v>0</v>
      </c>
      <c r="W124" s="184">
        <v>1</v>
      </c>
      <c r="X124" s="184">
        <v>0</v>
      </c>
      <c r="Y124" s="184">
        <v>0</v>
      </c>
      <c r="Z124" s="184">
        <v>0</v>
      </c>
      <c r="AA124" s="184">
        <v>0</v>
      </c>
      <c r="AB124" s="184">
        <v>0</v>
      </c>
      <c r="AC124" s="185">
        <v>41.8</v>
      </c>
      <c r="AD124" s="185" t="s">
        <v>24</v>
      </c>
      <c r="AE124" s="184">
        <v>0</v>
      </c>
      <c r="AF124" s="185">
        <v>0</v>
      </c>
      <c r="AG124" s="184">
        <v>0</v>
      </c>
      <c r="AH124" s="185">
        <v>0</v>
      </c>
      <c r="AI124" s="184">
        <v>0</v>
      </c>
      <c r="AJ124" s="643">
        <v>0</v>
      </c>
      <c r="AP124" s="116">
        <f>SUM(AP47:AP50)</f>
        <v>25</v>
      </c>
      <c r="AR124" s="56">
        <f>AR47</f>
        <v>0.37500000000000011</v>
      </c>
      <c r="AS124" s="117">
        <f>SUM(AS47:AS50)</f>
        <v>0.2857142857142857</v>
      </c>
      <c r="AT124" s="116">
        <f>SUM(AT47:AT50)</f>
        <v>28.857142857142858</v>
      </c>
      <c r="AU124" s="118">
        <f>SUM(AU47:AU50)</f>
        <v>3.5714285714285716</v>
      </c>
      <c r="AV124" s="116">
        <f>SUM(AV47:AV50)</f>
        <v>0</v>
      </c>
      <c r="AW124" s="119">
        <f>SUM(AW47:AW50)</f>
        <v>0.42857142857142855</v>
      </c>
      <c r="AY124" s="56">
        <f>AY47</f>
        <v>0.37500000000000011</v>
      </c>
      <c r="AZ124" s="117">
        <f t="shared" ref="AZ124:BF124" si="161">IF(SUM(AZ47:AZ50)&gt;0, SUM(AZ47:AZ50), NA())</f>
        <v>39</v>
      </c>
      <c r="BA124" s="116">
        <f t="shared" si="161"/>
        <v>34</v>
      </c>
      <c r="BB124" s="118">
        <f t="shared" si="161"/>
        <v>43</v>
      </c>
      <c r="BC124" s="116">
        <f t="shared" si="161"/>
        <v>38</v>
      </c>
      <c r="BD124" s="118">
        <f t="shared" si="161"/>
        <v>28</v>
      </c>
      <c r="BE124" s="116">
        <f t="shared" si="161"/>
        <v>23</v>
      </c>
      <c r="BF124" s="119">
        <f t="shared" si="161"/>
        <v>27</v>
      </c>
      <c r="BH124" s="56">
        <f>BH47</f>
        <v>0.37500000000000011</v>
      </c>
      <c r="BI124" s="120">
        <f t="shared" ref="BI124:BO124" si="162">IF(SUM(CM47:CM50)&lt;=0, NA(), SUM(CM47:CM50)/AZ124)</f>
        <v>35.774358974358975</v>
      </c>
      <c r="BJ124" s="121">
        <f t="shared" si="162"/>
        <v>31.620588235294115</v>
      </c>
      <c r="BK124" s="115">
        <f t="shared" si="162"/>
        <v>35.641860465116281</v>
      </c>
      <c r="BL124" s="121">
        <f t="shared" si="162"/>
        <v>33.768421052631581</v>
      </c>
      <c r="BM124" s="115">
        <f t="shared" si="162"/>
        <v>34.35</v>
      </c>
      <c r="BN124" s="121">
        <f t="shared" si="162"/>
        <v>38.643478260869564</v>
      </c>
      <c r="BO124" s="122">
        <f t="shared" si="162"/>
        <v>32.662962962962965</v>
      </c>
      <c r="BQ124" s="56">
        <f>BQ47</f>
        <v>0.37500000000000011</v>
      </c>
      <c r="BR124" s="120">
        <f t="shared" ref="BR124:BX124" si="163">IFERROR(AVERAGE(BR47:BR50), "")</f>
        <v>45</v>
      </c>
      <c r="BS124" s="121" t="str">
        <f t="shared" si="163"/>
        <v/>
      </c>
      <c r="BT124" s="115">
        <f t="shared" si="163"/>
        <v>45.4</v>
      </c>
      <c r="BU124" s="121">
        <f t="shared" si="163"/>
        <v>38.4</v>
      </c>
      <c r="BV124" s="115">
        <f t="shared" si="163"/>
        <v>44.8</v>
      </c>
      <c r="BW124" s="121" t="str">
        <f t="shared" si="163"/>
        <v/>
      </c>
      <c r="BX124" s="122">
        <f t="shared" si="163"/>
        <v>43.45</v>
      </c>
      <c r="BZ124" s="66"/>
      <c r="CA124" s="414">
        <f t="shared" si="135"/>
        <v>43.410000000000004</v>
      </c>
      <c r="CB124" s="153">
        <f t="shared" si="142"/>
        <v>60</v>
      </c>
      <c r="CM124" s="115"/>
      <c r="CN124" s="115"/>
      <c r="CO124" s="115"/>
      <c r="CP124" s="115"/>
      <c r="CQ124" s="115"/>
      <c r="CR124" s="115"/>
      <c r="CS124" s="115"/>
      <c r="CY124" s="120">
        <f>SUM(CY47:CY50)</f>
        <v>0.2</v>
      </c>
      <c r="CZ124" s="121">
        <f>SUM(CZ47:CZ50)</f>
        <v>31.200000000000003</v>
      </c>
      <c r="DA124" s="115">
        <f>SUM(DA47:DA50)</f>
        <v>4.4000000000000004</v>
      </c>
      <c r="DB124" s="121">
        <f>SUM(DB47:DB50)</f>
        <v>0</v>
      </c>
      <c r="DC124" s="122">
        <f>SUM(DC47:DC50)</f>
        <v>0.4</v>
      </c>
    </row>
    <row r="125" spans="1:107" ht="15" x14ac:dyDescent="0.25">
      <c r="A125" s="190" t="s">
        <v>42</v>
      </c>
      <c r="B125" s="642">
        <v>0</v>
      </c>
      <c r="C125" s="184">
        <v>0</v>
      </c>
      <c r="D125" s="184">
        <v>0</v>
      </c>
      <c r="E125" s="184">
        <v>0</v>
      </c>
      <c r="F125" s="184">
        <v>0</v>
      </c>
      <c r="G125" s="184">
        <v>0</v>
      </c>
      <c r="H125" s="184">
        <v>0</v>
      </c>
      <c r="I125" s="184">
        <v>0</v>
      </c>
      <c r="J125" s="184">
        <v>0</v>
      </c>
      <c r="K125" s="184">
        <v>0</v>
      </c>
      <c r="L125" s="184">
        <v>0</v>
      </c>
      <c r="M125" s="654" t="s">
        <v>24</v>
      </c>
      <c r="N125" s="669" t="s">
        <v>42</v>
      </c>
      <c r="O125" s="642">
        <v>0</v>
      </c>
      <c r="P125" s="184">
        <v>0</v>
      </c>
      <c r="Q125" s="184">
        <v>0</v>
      </c>
      <c r="R125" s="184">
        <v>0</v>
      </c>
      <c r="S125" s="184">
        <v>0</v>
      </c>
      <c r="T125" s="184">
        <v>0</v>
      </c>
      <c r="U125" s="184">
        <v>0</v>
      </c>
      <c r="V125" s="184">
        <v>0</v>
      </c>
      <c r="W125" s="184">
        <v>0</v>
      </c>
      <c r="X125" s="184">
        <v>0</v>
      </c>
      <c r="Y125" s="184">
        <v>0</v>
      </c>
      <c r="Z125" s="184">
        <v>0</v>
      </c>
      <c r="AA125" s="184">
        <v>0</v>
      </c>
      <c r="AB125" s="184">
        <v>0</v>
      </c>
      <c r="AC125" s="185" t="s">
        <v>24</v>
      </c>
      <c r="AD125" s="185" t="s">
        <v>24</v>
      </c>
      <c r="AE125" s="184">
        <v>0</v>
      </c>
      <c r="AF125" s="185">
        <v>0</v>
      </c>
      <c r="AG125" s="184">
        <v>0</v>
      </c>
      <c r="AH125" s="185">
        <v>0</v>
      </c>
      <c r="AI125" s="184">
        <v>0</v>
      </c>
      <c r="AJ125" s="643">
        <v>0</v>
      </c>
      <c r="AP125" s="116">
        <f>SUM(AP51:AP54)</f>
        <v>30</v>
      </c>
      <c r="AR125" s="56">
        <f>AR51</f>
        <v>0.41666666666666685</v>
      </c>
      <c r="AS125" s="117">
        <f>SUM(AS51:AS54)</f>
        <v>0.8571428571428571</v>
      </c>
      <c r="AT125" s="116">
        <f>SUM(AT51:AT54)</f>
        <v>32.857142857142854</v>
      </c>
      <c r="AU125" s="118">
        <f>SUM(AU51:AU54)</f>
        <v>4.5714285714285712</v>
      </c>
      <c r="AV125" s="116">
        <f>SUM(AV51:AV54)</f>
        <v>0</v>
      </c>
      <c r="AW125" s="119">
        <f>SUM(AW51:AW54)</f>
        <v>0.2857142857142857</v>
      </c>
      <c r="AY125" s="56">
        <f>AY51</f>
        <v>0.41666666666666685</v>
      </c>
      <c r="AZ125" s="117">
        <f t="shared" ref="AZ125:BF125" si="164">IF(SUM(AZ51:AZ54)&gt;0, SUM(AZ51:AZ54), NA())</f>
        <v>48</v>
      </c>
      <c r="BA125" s="116">
        <f t="shared" si="164"/>
        <v>30</v>
      </c>
      <c r="BB125" s="118">
        <f t="shared" si="164"/>
        <v>34</v>
      </c>
      <c r="BC125" s="116">
        <f t="shared" si="164"/>
        <v>32</v>
      </c>
      <c r="BD125" s="118">
        <f t="shared" si="164"/>
        <v>47</v>
      </c>
      <c r="BE125" s="116">
        <f t="shared" si="164"/>
        <v>42</v>
      </c>
      <c r="BF125" s="119">
        <f t="shared" si="164"/>
        <v>37</v>
      </c>
      <c r="BH125" s="56">
        <f>BH51</f>
        <v>0.41666666666666685</v>
      </c>
      <c r="BI125" s="120">
        <f t="shared" ref="BI125:BO125" si="165">IF(SUM(CM51:CM54)&lt;=0, NA(), SUM(CM51:CM54)/AZ125)</f>
        <v>38.84791666666667</v>
      </c>
      <c r="BJ125" s="121">
        <f t="shared" si="165"/>
        <v>34.410000000000004</v>
      </c>
      <c r="BK125" s="115">
        <f t="shared" si="165"/>
        <v>34.5</v>
      </c>
      <c r="BL125" s="121">
        <f t="shared" si="165"/>
        <v>39.090624999999996</v>
      </c>
      <c r="BM125" s="115">
        <f t="shared" si="165"/>
        <v>40.044680851063831</v>
      </c>
      <c r="BN125" s="121">
        <f t="shared" si="165"/>
        <v>34.021428571428572</v>
      </c>
      <c r="BO125" s="122">
        <f t="shared" si="165"/>
        <v>33.672972972972978</v>
      </c>
      <c r="BQ125" s="56">
        <f>BQ51</f>
        <v>0.41666666666666685</v>
      </c>
      <c r="BR125" s="120">
        <f t="shared" ref="BR125:BX125" si="166">IFERROR(AVERAGE(BR51:BR54), "")</f>
        <v>43.35</v>
      </c>
      <c r="BS125" s="121" t="str">
        <f t="shared" si="166"/>
        <v/>
      </c>
      <c r="BT125" s="115" t="str">
        <f t="shared" si="166"/>
        <v/>
      </c>
      <c r="BU125" s="121" t="str">
        <f t="shared" si="166"/>
        <v/>
      </c>
      <c r="BV125" s="115">
        <f t="shared" si="166"/>
        <v>46.9</v>
      </c>
      <c r="BW125" s="121">
        <f t="shared" si="166"/>
        <v>40.200000000000003</v>
      </c>
      <c r="BX125" s="122">
        <f t="shared" si="166"/>
        <v>44.55</v>
      </c>
      <c r="BZ125" s="66"/>
      <c r="CA125" s="414">
        <f t="shared" si="135"/>
        <v>43.75</v>
      </c>
      <c r="CB125" s="153">
        <f t="shared" si="142"/>
        <v>60</v>
      </c>
      <c r="CM125" s="115"/>
      <c r="CN125" s="115"/>
      <c r="CO125" s="115"/>
      <c r="CP125" s="115"/>
      <c r="CQ125" s="115"/>
      <c r="CR125" s="115"/>
      <c r="CS125" s="115"/>
      <c r="CY125" s="120">
        <f>SUM(CY51:CY54)</f>
        <v>0.60000000000000009</v>
      </c>
      <c r="CZ125" s="121">
        <f>SUM(CZ51:CZ54)</f>
        <v>30.6</v>
      </c>
      <c r="DA125" s="115">
        <f>SUM(DA51:DA54)</f>
        <v>4.6000000000000005</v>
      </c>
      <c r="DB125" s="121">
        <f>SUM(DB51:DB54)</f>
        <v>0</v>
      </c>
      <c r="DC125" s="122">
        <f>SUM(DC51:DC54)</f>
        <v>0.4</v>
      </c>
    </row>
    <row r="126" spans="1:107" ht="15" x14ac:dyDescent="0.25">
      <c r="A126" s="190" t="s">
        <v>39</v>
      </c>
      <c r="B126" s="642">
        <v>0</v>
      </c>
      <c r="C126" s="184">
        <v>0</v>
      </c>
      <c r="D126" s="184">
        <v>0</v>
      </c>
      <c r="E126" s="184">
        <v>0</v>
      </c>
      <c r="F126" s="184">
        <v>0</v>
      </c>
      <c r="G126" s="184">
        <v>0</v>
      </c>
      <c r="H126" s="184">
        <v>0</v>
      </c>
      <c r="I126" s="184">
        <v>0</v>
      </c>
      <c r="J126" s="184">
        <v>0</v>
      </c>
      <c r="K126" s="184">
        <v>0</v>
      </c>
      <c r="L126" s="184">
        <v>0</v>
      </c>
      <c r="M126" s="654" t="s">
        <v>24</v>
      </c>
      <c r="N126" s="669" t="s">
        <v>39</v>
      </c>
      <c r="O126" s="642">
        <v>0</v>
      </c>
      <c r="P126" s="184">
        <v>0</v>
      </c>
      <c r="Q126" s="184">
        <v>0</v>
      </c>
      <c r="R126" s="184">
        <v>0</v>
      </c>
      <c r="S126" s="184">
        <v>0</v>
      </c>
      <c r="T126" s="184">
        <v>0</v>
      </c>
      <c r="U126" s="184">
        <v>0</v>
      </c>
      <c r="V126" s="184">
        <v>0</v>
      </c>
      <c r="W126" s="184">
        <v>0</v>
      </c>
      <c r="X126" s="184">
        <v>0</v>
      </c>
      <c r="Y126" s="184">
        <v>0</v>
      </c>
      <c r="Z126" s="184">
        <v>0</v>
      </c>
      <c r="AA126" s="184">
        <v>0</v>
      </c>
      <c r="AB126" s="184">
        <v>0</v>
      </c>
      <c r="AC126" s="185" t="s">
        <v>24</v>
      </c>
      <c r="AD126" s="185" t="s">
        <v>24</v>
      </c>
      <c r="AE126" s="184">
        <v>0</v>
      </c>
      <c r="AF126" s="185">
        <v>0</v>
      </c>
      <c r="AG126" s="184">
        <v>0</v>
      </c>
      <c r="AH126" s="185">
        <v>0</v>
      </c>
      <c r="AI126" s="184">
        <v>0</v>
      </c>
      <c r="AJ126" s="643">
        <v>0</v>
      </c>
      <c r="AP126" s="116">
        <f>SUM(AP55:AP58)</f>
        <v>32</v>
      </c>
      <c r="AR126" s="56">
        <f>AR55</f>
        <v>0.45833333333333359</v>
      </c>
      <c r="AS126" s="117">
        <f>SUM(AS55:AS58)</f>
        <v>0.71428571428571419</v>
      </c>
      <c r="AT126" s="116">
        <f>SUM(AT55:AT58)</f>
        <v>38.571428571428569</v>
      </c>
      <c r="AU126" s="118">
        <f>SUM(AU55:AU58)</f>
        <v>4.8571428571428577</v>
      </c>
      <c r="AV126" s="116">
        <f>SUM(AV55:AV58)</f>
        <v>0.14285714285714285</v>
      </c>
      <c r="AW126" s="119">
        <f>SUM(AW55:AW58)</f>
        <v>0.14285714285714285</v>
      </c>
      <c r="AY126" s="56">
        <f>AY55</f>
        <v>0.45833333333333359</v>
      </c>
      <c r="AZ126" s="117">
        <f t="shared" ref="AZ126:BF126" si="167">IF(SUM(AZ55:AZ58)&gt;0, SUM(AZ55:AZ58), NA())</f>
        <v>33</v>
      </c>
      <c r="BA126" s="116">
        <f t="shared" si="167"/>
        <v>48</v>
      </c>
      <c r="BB126" s="118">
        <f t="shared" si="167"/>
        <v>31</v>
      </c>
      <c r="BC126" s="116">
        <f t="shared" si="167"/>
        <v>56</v>
      </c>
      <c r="BD126" s="118">
        <f t="shared" si="167"/>
        <v>37</v>
      </c>
      <c r="BE126" s="116">
        <f t="shared" si="167"/>
        <v>65</v>
      </c>
      <c r="BF126" s="119">
        <f t="shared" si="167"/>
        <v>41</v>
      </c>
      <c r="BH126" s="56">
        <f>BH55</f>
        <v>0.45833333333333359</v>
      </c>
      <c r="BI126" s="120">
        <f t="shared" ref="BI126:BO126" si="168">IF(SUM(CM55:CM58)&lt;=0, NA(), SUM(CM55:CM58)/AZ126)</f>
        <v>39.151515151515149</v>
      </c>
      <c r="BJ126" s="121">
        <f t="shared" si="168"/>
        <v>37.270833333333336</v>
      </c>
      <c r="BK126" s="115">
        <f t="shared" si="168"/>
        <v>39.20967741935484</v>
      </c>
      <c r="BL126" s="121">
        <f t="shared" si="168"/>
        <v>39.287500000000009</v>
      </c>
      <c r="BM126" s="115">
        <f t="shared" si="168"/>
        <v>40.264864864864862</v>
      </c>
      <c r="BN126" s="121">
        <f t="shared" si="168"/>
        <v>35.443076923076923</v>
      </c>
      <c r="BO126" s="122">
        <f t="shared" si="168"/>
        <v>39.621951219512198</v>
      </c>
      <c r="BQ126" s="56">
        <f>BQ55</f>
        <v>0.45833333333333359</v>
      </c>
      <c r="BR126" s="120">
        <f t="shared" ref="BR126:BX126" si="169">IFERROR(AVERAGE(BR55:BR58), "")</f>
        <v>46.55</v>
      </c>
      <c r="BS126" s="121">
        <f t="shared" si="169"/>
        <v>44.150000000000006</v>
      </c>
      <c r="BT126" s="115" t="str">
        <f t="shared" si="169"/>
        <v/>
      </c>
      <c r="BU126" s="121">
        <f t="shared" si="169"/>
        <v>46.524999999999999</v>
      </c>
      <c r="BV126" s="115">
        <f t="shared" si="169"/>
        <v>44.5</v>
      </c>
      <c r="BW126" s="121">
        <f t="shared" si="169"/>
        <v>42.199999999999996</v>
      </c>
      <c r="BX126" s="122">
        <f t="shared" si="169"/>
        <v>49.1</v>
      </c>
      <c r="BZ126" s="66"/>
      <c r="CA126" s="414">
        <f t="shared" si="135"/>
        <v>45.504166666666663</v>
      </c>
      <c r="CB126" s="153">
        <f t="shared" si="142"/>
        <v>60</v>
      </c>
      <c r="CM126" s="115"/>
      <c r="CN126" s="115"/>
      <c r="CO126" s="115"/>
      <c r="CP126" s="115"/>
      <c r="CQ126" s="115"/>
      <c r="CR126" s="115"/>
      <c r="CS126" s="115"/>
      <c r="CY126" s="120">
        <f>SUM(CY55:CY58)</f>
        <v>0.60000000000000009</v>
      </c>
      <c r="CZ126" s="121">
        <f>SUM(CZ55:CZ58)</f>
        <v>34.799999999999997</v>
      </c>
      <c r="DA126" s="115">
        <f>SUM(DA55:DA58)</f>
        <v>6.1999999999999993</v>
      </c>
      <c r="DB126" s="121">
        <f>SUM(DB55:DB58)</f>
        <v>0</v>
      </c>
      <c r="DC126" s="122">
        <f>SUM(DC55:DC58)</f>
        <v>0.2</v>
      </c>
    </row>
    <row r="127" spans="1:107" ht="15" x14ac:dyDescent="0.25">
      <c r="A127" s="190" t="s">
        <v>45</v>
      </c>
      <c r="B127" s="642">
        <v>0</v>
      </c>
      <c r="C127" s="184">
        <v>0</v>
      </c>
      <c r="D127" s="184">
        <v>0</v>
      </c>
      <c r="E127" s="184">
        <v>0</v>
      </c>
      <c r="F127" s="184">
        <v>0</v>
      </c>
      <c r="G127" s="184">
        <v>0</v>
      </c>
      <c r="H127" s="184">
        <v>0</v>
      </c>
      <c r="I127" s="184">
        <v>0</v>
      </c>
      <c r="J127" s="184">
        <v>0</v>
      </c>
      <c r="K127" s="184">
        <v>0</v>
      </c>
      <c r="L127" s="184">
        <v>0</v>
      </c>
      <c r="M127" s="654" t="s">
        <v>24</v>
      </c>
      <c r="N127" s="669" t="s">
        <v>45</v>
      </c>
      <c r="O127" s="642">
        <v>0</v>
      </c>
      <c r="P127" s="184">
        <v>0</v>
      </c>
      <c r="Q127" s="184">
        <v>0</v>
      </c>
      <c r="R127" s="184">
        <v>0</v>
      </c>
      <c r="S127" s="184">
        <v>0</v>
      </c>
      <c r="T127" s="184">
        <v>0</v>
      </c>
      <c r="U127" s="184">
        <v>0</v>
      </c>
      <c r="V127" s="184">
        <v>0</v>
      </c>
      <c r="W127" s="184">
        <v>0</v>
      </c>
      <c r="X127" s="184">
        <v>0</v>
      </c>
      <c r="Y127" s="184">
        <v>0</v>
      </c>
      <c r="Z127" s="184">
        <v>0</v>
      </c>
      <c r="AA127" s="184">
        <v>0</v>
      </c>
      <c r="AB127" s="184">
        <v>0</v>
      </c>
      <c r="AC127" s="185" t="s">
        <v>24</v>
      </c>
      <c r="AD127" s="185" t="s">
        <v>24</v>
      </c>
      <c r="AE127" s="184">
        <v>0</v>
      </c>
      <c r="AF127" s="185">
        <v>0</v>
      </c>
      <c r="AG127" s="184">
        <v>0</v>
      </c>
      <c r="AH127" s="185">
        <v>0</v>
      </c>
      <c r="AI127" s="184">
        <v>0</v>
      </c>
      <c r="AJ127" s="643">
        <v>0</v>
      </c>
      <c r="AP127" s="116">
        <f>SUM(AP59:AP62)</f>
        <v>37</v>
      </c>
      <c r="AR127" s="56">
        <f>AR59</f>
        <v>0.50000000000000033</v>
      </c>
      <c r="AS127" s="117">
        <f>SUM(AS59:AS62)</f>
        <v>1.5714285714285714</v>
      </c>
      <c r="AT127" s="116">
        <f>SUM(AT59:AT62)</f>
        <v>45.142857142857146</v>
      </c>
      <c r="AU127" s="118">
        <f>SUM(AU59:AU62)</f>
        <v>5.7142857142857144</v>
      </c>
      <c r="AV127" s="116">
        <f>SUM(AV59:AV62)</f>
        <v>0</v>
      </c>
      <c r="AW127" s="119">
        <f>SUM(AW59:AW62)</f>
        <v>0.5714285714285714</v>
      </c>
      <c r="AY127" s="56">
        <f>AY59</f>
        <v>0.50000000000000033</v>
      </c>
      <c r="AZ127" s="117">
        <f t="shared" ref="AZ127:BF127" si="170">IF(SUM(AZ59:AZ62)&gt;0, SUM(AZ59:AZ62), NA())</f>
        <v>37</v>
      </c>
      <c r="BA127" s="116">
        <f t="shared" si="170"/>
        <v>54</v>
      </c>
      <c r="BB127" s="118">
        <f t="shared" si="170"/>
        <v>39</v>
      </c>
      <c r="BC127" s="116">
        <f t="shared" si="170"/>
        <v>58</v>
      </c>
      <c r="BD127" s="118">
        <f t="shared" si="170"/>
        <v>56</v>
      </c>
      <c r="BE127" s="116">
        <f t="shared" si="170"/>
        <v>79</v>
      </c>
      <c r="BF127" s="119">
        <f t="shared" si="170"/>
        <v>48</v>
      </c>
      <c r="BH127" s="56">
        <f>BH59</f>
        <v>0.50000000000000033</v>
      </c>
      <c r="BI127" s="120">
        <f t="shared" ref="BI127:BO127" si="171">IF(SUM(CM59:CM62)&lt;=0, NA(), SUM(CM59:CM62)/AZ127)</f>
        <v>38.637837837837836</v>
      </c>
      <c r="BJ127" s="121">
        <f t="shared" si="171"/>
        <v>34.622222222222227</v>
      </c>
      <c r="BK127" s="115">
        <f t="shared" si="171"/>
        <v>33.738461538461536</v>
      </c>
      <c r="BL127" s="121">
        <f t="shared" si="171"/>
        <v>41.836206896551722</v>
      </c>
      <c r="BM127" s="115">
        <f t="shared" si="171"/>
        <v>38.99821428571429</v>
      </c>
      <c r="BN127" s="121">
        <f t="shared" si="171"/>
        <v>38.644303797468353</v>
      </c>
      <c r="BO127" s="122">
        <f t="shared" si="171"/>
        <v>41.481249999999996</v>
      </c>
      <c r="BQ127" s="56">
        <f>BQ59</f>
        <v>0.50000000000000033</v>
      </c>
      <c r="BR127" s="120">
        <f t="shared" ref="BR127:BX127" si="172">IFERROR(AVERAGE(BR59:BR62), "")</f>
        <v>48.5</v>
      </c>
      <c r="BS127" s="121">
        <f t="shared" si="172"/>
        <v>42.2</v>
      </c>
      <c r="BT127" s="115">
        <f t="shared" si="172"/>
        <v>43.3</v>
      </c>
      <c r="BU127" s="121">
        <f t="shared" si="172"/>
        <v>52.174999999999997</v>
      </c>
      <c r="BV127" s="115">
        <f t="shared" si="172"/>
        <v>48.033333333333331</v>
      </c>
      <c r="BW127" s="121">
        <f t="shared" si="172"/>
        <v>48.075000000000003</v>
      </c>
      <c r="BX127" s="122">
        <f t="shared" si="172"/>
        <v>51.6</v>
      </c>
      <c r="BZ127" s="66"/>
      <c r="CA127" s="414">
        <f t="shared" si="135"/>
        <v>47.697619047619057</v>
      </c>
      <c r="CB127" s="153">
        <f t="shared" si="142"/>
        <v>60</v>
      </c>
      <c r="CM127" s="115"/>
      <c r="CN127" s="115"/>
      <c r="CO127" s="115"/>
      <c r="CP127" s="115"/>
      <c r="CQ127" s="115"/>
      <c r="CR127" s="115"/>
      <c r="CS127" s="115"/>
      <c r="CY127" s="120">
        <f>SUM(CY59:CY62)</f>
        <v>1.4</v>
      </c>
      <c r="CZ127" s="121">
        <f>SUM(CZ59:CZ62)</f>
        <v>39</v>
      </c>
      <c r="DA127" s="115">
        <f>SUM(DA59:DA62)</f>
        <v>6.1999999999999993</v>
      </c>
      <c r="DB127" s="121">
        <f>SUM(DB59:DB62)</f>
        <v>0</v>
      </c>
      <c r="DC127" s="122">
        <f>SUM(DC59:DC62)</f>
        <v>0.60000000000000009</v>
      </c>
    </row>
    <row r="128" spans="1:107" ht="15" x14ac:dyDescent="0.25">
      <c r="A128" s="190" t="s">
        <v>47</v>
      </c>
      <c r="B128" s="642">
        <v>0</v>
      </c>
      <c r="C128" s="184">
        <v>0</v>
      </c>
      <c r="D128" s="184">
        <v>0</v>
      </c>
      <c r="E128" s="184">
        <v>0</v>
      </c>
      <c r="F128" s="184">
        <v>0</v>
      </c>
      <c r="G128" s="184">
        <v>0</v>
      </c>
      <c r="H128" s="184">
        <v>0</v>
      </c>
      <c r="I128" s="184">
        <v>0</v>
      </c>
      <c r="J128" s="184">
        <v>0</v>
      </c>
      <c r="K128" s="184">
        <v>0</v>
      </c>
      <c r="L128" s="184">
        <v>0</v>
      </c>
      <c r="M128" s="654" t="s">
        <v>24</v>
      </c>
      <c r="N128" s="669" t="s">
        <v>47</v>
      </c>
      <c r="O128" s="642">
        <v>0</v>
      </c>
      <c r="P128" s="184">
        <v>0</v>
      </c>
      <c r="Q128" s="184">
        <v>0</v>
      </c>
      <c r="R128" s="184">
        <v>0</v>
      </c>
      <c r="S128" s="184">
        <v>0</v>
      </c>
      <c r="T128" s="184">
        <v>0</v>
      </c>
      <c r="U128" s="184">
        <v>0</v>
      </c>
      <c r="V128" s="184">
        <v>0</v>
      </c>
      <c r="W128" s="184">
        <v>0</v>
      </c>
      <c r="X128" s="184">
        <v>0</v>
      </c>
      <c r="Y128" s="184">
        <v>0</v>
      </c>
      <c r="Z128" s="184">
        <v>0</v>
      </c>
      <c r="AA128" s="184">
        <v>0</v>
      </c>
      <c r="AB128" s="184">
        <v>0</v>
      </c>
      <c r="AC128" s="185" t="s">
        <v>24</v>
      </c>
      <c r="AD128" s="185" t="s">
        <v>24</v>
      </c>
      <c r="AE128" s="184">
        <v>0</v>
      </c>
      <c r="AF128" s="185">
        <v>0</v>
      </c>
      <c r="AG128" s="184">
        <v>0</v>
      </c>
      <c r="AH128" s="185">
        <v>0</v>
      </c>
      <c r="AI128" s="184">
        <v>0</v>
      </c>
      <c r="AJ128" s="643">
        <v>0</v>
      </c>
      <c r="AP128" s="116">
        <f>SUM(AP63:AP66)</f>
        <v>28</v>
      </c>
      <c r="AR128" s="56">
        <f>AR63</f>
        <v>0.54166666666666685</v>
      </c>
      <c r="AS128" s="117">
        <f>SUM(AS63:AS66)</f>
        <v>0.71428571428571419</v>
      </c>
      <c r="AT128" s="116">
        <f>SUM(AT63:AT66)</f>
        <v>38.428571428571431</v>
      </c>
      <c r="AU128" s="118">
        <f>SUM(AU63:AU66)</f>
        <v>4</v>
      </c>
      <c r="AV128" s="116">
        <f>SUM(AV63:AV66)</f>
        <v>0</v>
      </c>
      <c r="AW128" s="119">
        <f>SUM(AW63:AW66)</f>
        <v>0.2857142857142857</v>
      </c>
      <c r="AY128" s="56">
        <f>AY63</f>
        <v>0.54166666666666685</v>
      </c>
      <c r="AZ128" s="117">
        <f t="shared" ref="AZ128:BF128" si="173">IF(SUM(AZ63:AZ66)&gt;0, SUM(AZ63:AZ66), NA())</f>
        <v>32</v>
      </c>
      <c r="BA128" s="116">
        <f t="shared" si="173"/>
        <v>43</v>
      </c>
      <c r="BB128" s="118">
        <f t="shared" si="173"/>
        <v>32</v>
      </c>
      <c r="BC128" s="116">
        <f t="shared" si="173"/>
        <v>56</v>
      </c>
      <c r="BD128" s="118">
        <f t="shared" si="173"/>
        <v>50</v>
      </c>
      <c r="BE128" s="116">
        <f t="shared" si="173"/>
        <v>55</v>
      </c>
      <c r="BF128" s="119">
        <f t="shared" si="173"/>
        <v>36</v>
      </c>
      <c r="BH128" s="56">
        <f>BH63</f>
        <v>0.54166666666666685</v>
      </c>
      <c r="BI128" s="120">
        <f t="shared" ref="BI128:BO128" si="174">IF(SUM(CM63:CM66)&lt;=0, NA(), SUM(CM63:CM66)/AZ128)</f>
        <v>39.309375000000003</v>
      </c>
      <c r="BJ128" s="121">
        <f t="shared" si="174"/>
        <v>37.139534883720927</v>
      </c>
      <c r="BK128" s="115">
        <f t="shared" si="174"/>
        <v>37.068750000000001</v>
      </c>
      <c r="BL128" s="121">
        <f t="shared" si="174"/>
        <v>41.651785714285715</v>
      </c>
      <c r="BM128" s="115">
        <f t="shared" si="174"/>
        <v>38.641999999999996</v>
      </c>
      <c r="BN128" s="121">
        <f t="shared" si="174"/>
        <v>37.187272727272727</v>
      </c>
      <c r="BO128" s="122">
        <f t="shared" si="174"/>
        <v>42.06388888888889</v>
      </c>
      <c r="BQ128" s="56">
        <f>BQ63</f>
        <v>0.54166666666666685</v>
      </c>
      <c r="BR128" s="120">
        <f t="shared" ref="BR128:BX128" si="175">IFERROR(AVERAGE(BR63:BR66), "")</f>
        <v>52.3</v>
      </c>
      <c r="BS128" s="121">
        <f t="shared" si="175"/>
        <v>50.05</v>
      </c>
      <c r="BT128" s="115" t="str">
        <f t="shared" si="175"/>
        <v/>
      </c>
      <c r="BU128" s="121">
        <f t="shared" si="175"/>
        <v>50</v>
      </c>
      <c r="BV128" s="115">
        <f t="shared" si="175"/>
        <v>45.199999999999996</v>
      </c>
      <c r="BW128" s="121">
        <f t="shared" si="175"/>
        <v>43.133333333333333</v>
      </c>
      <c r="BX128" s="122" t="str">
        <f t="shared" si="175"/>
        <v/>
      </c>
      <c r="BZ128" s="66"/>
      <c r="CA128" s="414">
        <f t="shared" si="135"/>
        <v>48.136666666666663</v>
      </c>
      <c r="CB128" s="153">
        <f t="shared" si="142"/>
        <v>60</v>
      </c>
      <c r="CM128" s="115"/>
      <c r="CN128" s="115"/>
      <c r="CO128" s="115"/>
      <c r="CP128" s="115"/>
      <c r="CQ128" s="115"/>
      <c r="CR128" s="115"/>
      <c r="CS128" s="115"/>
      <c r="CY128" s="120">
        <f>SUM(CY63:CY66)</f>
        <v>0.4</v>
      </c>
      <c r="CZ128" s="121">
        <f>SUM(CZ63:CZ66)</f>
        <v>33.799999999999997</v>
      </c>
      <c r="DA128" s="115">
        <f>SUM(DA63:DA66)</f>
        <v>5.2</v>
      </c>
      <c r="DB128" s="121">
        <f>SUM(DB63:DB66)</f>
        <v>0</v>
      </c>
      <c r="DC128" s="122">
        <f>SUM(DC63:DC66)</f>
        <v>0.4</v>
      </c>
    </row>
    <row r="129" spans="1:107" ht="15" x14ac:dyDescent="0.25">
      <c r="A129" s="190" t="s">
        <v>49</v>
      </c>
      <c r="B129" s="642">
        <v>0</v>
      </c>
      <c r="C129" s="184">
        <v>0</v>
      </c>
      <c r="D129" s="184">
        <v>0</v>
      </c>
      <c r="E129" s="184">
        <v>0</v>
      </c>
      <c r="F129" s="184">
        <v>0</v>
      </c>
      <c r="G129" s="184">
        <v>0</v>
      </c>
      <c r="H129" s="184">
        <v>0</v>
      </c>
      <c r="I129" s="184">
        <v>0</v>
      </c>
      <c r="J129" s="184">
        <v>0</v>
      </c>
      <c r="K129" s="184">
        <v>0</v>
      </c>
      <c r="L129" s="184">
        <v>0</v>
      </c>
      <c r="M129" s="654" t="s">
        <v>24</v>
      </c>
      <c r="N129" s="669" t="s">
        <v>49</v>
      </c>
      <c r="O129" s="642">
        <v>0</v>
      </c>
      <c r="P129" s="184">
        <v>0</v>
      </c>
      <c r="Q129" s="184">
        <v>0</v>
      </c>
      <c r="R129" s="184">
        <v>0</v>
      </c>
      <c r="S129" s="184">
        <v>0</v>
      </c>
      <c r="T129" s="184">
        <v>0</v>
      </c>
      <c r="U129" s="184">
        <v>0</v>
      </c>
      <c r="V129" s="184">
        <v>0</v>
      </c>
      <c r="W129" s="184">
        <v>0</v>
      </c>
      <c r="X129" s="184">
        <v>0</v>
      </c>
      <c r="Y129" s="184">
        <v>0</v>
      </c>
      <c r="Z129" s="184">
        <v>0</v>
      </c>
      <c r="AA129" s="184">
        <v>0</v>
      </c>
      <c r="AB129" s="184">
        <v>0</v>
      </c>
      <c r="AC129" s="185" t="s">
        <v>24</v>
      </c>
      <c r="AD129" s="185" t="s">
        <v>24</v>
      </c>
      <c r="AE129" s="184">
        <v>0</v>
      </c>
      <c r="AF129" s="185">
        <v>0</v>
      </c>
      <c r="AG129" s="184">
        <v>0</v>
      </c>
      <c r="AH129" s="185">
        <v>0</v>
      </c>
      <c r="AI129" s="184">
        <v>0</v>
      </c>
      <c r="AJ129" s="643">
        <v>0</v>
      </c>
      <c r="AP129" s="116">
        <f>SUM(AP67:AP70)</f>
        <v>38</v>
      </c>
      <c r="AR129" s="56">
        <f>AR67</f>
        <v>0.58333333333333337</v>
      </c>
      <c r="AS129" s="117">
        <f>SUM(AS67:AS70)</f>
        <v>1.4285714285714286</v>
      </c>
      <c r="AT129" s="116">
        <f>SUM(AT67:AT70)</f>
        <v>43</v>
      </c>
      <c r="AU129" s="118">
        <f>SUM(AU67:AU70)</f>
        <v>5.5714285714285712</v>
      </c>
      <c r="AV129" s="116">
        <f>SUM(AV67:AV70)</f>
        <v>0.14285714285714285</v>
      </c>
      <c r="AW129" s="119">
        <f>SUM(AW67:AW70)</f>
        <v>0.2857142857142857</v>
      </c>
      <c r="AY129" s="56">
        <f>AY67</f>
        <v>0.58333333333333337</v>
      </c>
      <c r="AZ129" s="117">
        <f t="shared" ref="AZ129:BF129" si="176">IF(SUM(AZ67:AZ70)&gt;0, SUM(AZ67:AZ70), NA())</f>
        <v>41</v>
      </c>
      <c r="BA129" s="116">
        <f t="shared" si="176"/>
        <v>60</v>
      </c>
      <c r="BB129" s="118">
        <f t="shared" si="176"/>
        <v>38</v>
      </c>
      <c r="BC129" s="116">
        <f t="shared" si="176"/>
        <v>53</v>
      </c>
      <c r="BD129" s="118">
        <f t="shared" si="176"/>
        <v>51</v>
      </c>
      <c r="BE129" s="116">
        <f t="shared" si="176"/>
        <v>63</v>
      </c>
      <c r="BF129" s="119">
        <f t="shared" si="176"/>
        <v>47</v>
      </c>
      <c r="BH129" s="56">
        <f>BH67</f>
        <v>0.58333333333333337</v>
      </c>
      <c r="BI129" s="120">
        <f t="shared" ref="BI129:BO129" si="177">IF(SUM(CM67:CM70)&lt;=0, NA(), SUM(CM67:CM70)/AZ129)</f>
        <v>42.075609756097556</v>
      </c>
      <c r="BJ129" s="121">
        <f t="shared" si="177"/>
        <v>37.786666666666662</v>
      </c>
      <c r="BK129" s="115">
        <f t="shared" si="177"/>
        <v>36.484210526315785</v>
      </c>
      <c r="BL129" s="121">
        <f t="shared" si="177"/>
        <v>38.771698113207549</v>
      </c>
      <c r="BM129" s="115">
        <f t="shared" si="177"/>
        <v>37.405882352941177</v>
      </c>
      <c r="BN129" s="121">
        <f t="shared" si="177"/>
        <v>39.420634920634917</v>
      </c>
      <c r="BO129" s="122">
        <f t="shared" si="177"/>
        <v>42.176595744680846</v>
      </c>
      <c r="BQ129" s="56">
        <f>BQ67</f>
        <v>0.58333333333333337</v>
      </c>
      <c r="BR129" s="120">
        <f t="shared" ref="BR129:BX129" si="178">IFERROR(AVERAGE(BR67:BR70), "")</f>
        <v>50</v>
      </c>
      <c r="BS129" s="121">
        <f t="shared" si="178"/>
        <v>47.924999999999997</v>
      </c>
      <c r="BT129" s="115">
        <f t="shared" si="178"/>
        <v>43.2</v>
      </c>
      <c r="BU129" s="121">
        <f t="shared" si="178"/>
        <v>46.45</v>
      </c>
      <c r="BV129" s="115">
        <f t="shared" si="178"/>
        <v>43.966666666666661</v>
      </c>
      <c r="BW129" s="121">
        <f t="shared" si="178"/>
        <v>47.066666666666663</v>
      </c>
      <c r="BX129" s="122">
        <f t="shared" si="178"/>
        <v>47.5</v>
      </c>
      <c r="BZ129" s="66"/>
      <c r="CA129" s="414">
        <f t="shared" si="135"/>
        <v>46.586904761904762</v>
      </c>
      <c r="CB129" s="153">
        <f t="shared" si="142"/>
        <v>60</v>
      </c>
      <c r="CM129" s="115"/>
      <c r="CN129" s="115"/>
      <c r="CO129" s="115"/>
      <c r="CP129" s="115"/>
      <c r="CQ129" s="115"/>
      <c r="CR129" s="115"/>
      <c r="CS129" s="115"/>
      <c r="CY129" s="120">
        <f>SUM(CY67:CY70)</f>
        <v>1</v>
      </c>
      <c r="CZ129" s="121">
        <f>SUM(CZ67:CZ70)</f>
        <v>38.799999999999997</v>
      </c>
      <c r="DA129" s="115">
        <f>SUM(DA67:DA70)</f>
        <v>7.3999999999999995</v>
      </c>
      <c r="DB129" s="121">
        <f>SUM(DB67:DB70)</f>
        <v>0.2</v>
      </c>
      <c r="DC129" s="122">
        <f>SUM(DC67:DC70)</f>
        <v>0.4</v>
      </c>
    </row>
    <row r="130" spans="1:107" ht="15" x14ac:dyDescent="0.25">
      <c r="A130" s="190" t="s">
        <v>41</v>
      </c>
      <c r="B130" s="642">
        <v>0</v>
      </c>
      <c r="C130" s="184">
        <v>0</v>
      </c>
      <c r="D130" s="184">
        <v>0</v>
      </c>
      <c r="E130" s="184">
        <v>0</v>
      </c>
      <c r="F130" s="184">
        <v>0</v>
      </c>
      <c r="G130" s="184">
        <v>0</v>
      </c>
      <c r="H130" s="184">
        <v>0</v>
      </c>
      <c r="I130" s="184">
        <v>0</v>
      </c>
      <c r="J130" s="184">
        <v>0</v>
      </c>
      <c r="K130" s="184">
        <v>0</v>
      </c>
      <c r="L130" s="184">
        <v>0</v>
      </c>
      <c r="M130" s="654" t="s">
        <v>24</v>
      </c>
      <c r="N130" s="669" t="s">
        <v>41</v>
      </c>
      <c r="O130" s="642">
        <v>0</v>
      </c>
      <c r="P130" s="184">
        <v>0</v>
      </c>
      <c r="Q130" s="184">
        <v>0</v>
      </c>
      <c r="R130" s="184">
        <v>0</v>
      </c>
      <c r="S130" s="184">
        <v>0</v>
      </c>
      <c r="T130" s="184">
        <v>0</v>
      </c>
      <c r="U130" s="184">
        <v>0</v>
      </c>
      <c r="V130" s="184">
        <v>0</v>
      </c>
      <c r="W130" s="184">
        <v>0</v>
      </c>
      <c r="X130" s="184">
        <v>0</v>
      </c>
      <c r="Y130" s="184">
        <v>0</v>
      </c>
      <c r="Z130" s="184">
        <v>0</v>
      </c>
      <c r="AA130" s="184">
        <v>0</v>
      </c>
      <c r="AB130" s="184">
        <v>0</v>
      </c>
      <c r="AC130" s="185" t="s">
        <v>24</v>
      </c>
      <c r="AD130" s="185" t="s">
        <v>24</v>
      </c>
      <c r="AE130" s="184">
        <v>0</v>
      </c>
      <c r="AF130" s="185">
        <v>0</v>
      </c>
      <c r="AG130" s="184">
        <v>0</v>
      </c>
      <c r="AH130" s="185">
        <v>0</v>
      </c>
      <c r="AI130" s="184">
        <v>0</v>
      </c>
      <c r="AJ130" s="643">
        <v>0</v>
      </c>
      <c r="AP130" s="116">
        <f>SUM(AP71:AP74)</f>
        <v>23</v>
      </c>
      <c r="AR130" s="56">
        <f>AR71</f>
        <v>0.62499999999999989</v>
      </c>
      <c r="AS130" s="117">
        <f>SUM(AS71:AS74)</f>
        <v>0.8571428571428571</v>
      </c>
      <c r="AT130" s="116">
        <f>SUM(AT71:AT74)</f>
        <v>49.428571428571431</v>
      </c>
      <c r="AU130" s="118">
        <f>SUM(AU71:AU74)</f>
        <v>3.4285714285714288</v>
      </c>
      <c r="AV130" s="116">
        <f>SUM(AV71:AV74)</f>
        <v>0</v>
      </c>
      <c r="AW130" s="119">
        <f>SUM(AW71:AW74)</f>
        <v>0.5714285714285714</v>
      </c>
      <c r="AY130" s="56">
        <f>AY71</f>
        <v>0.62499999999999989</v>
      </c>
      <c r="AZ130" s="117">
        <f t="shared" ref="AZ130:BF130" si="179">IF(SUM(AZ71:AZ74)&gt;0, SUM(AZ71:AZ74), NA())</f>
        <v>62</v>
      </c>
      <c r="BA130" s="116">
        <f t="shared" si="179"/>
        <v>42</v>
      </c>
      <c r="BB130" s="118">
        <f t="shared" si="179"/>
        <v>61</v>
      </c>
      <c r="BC130" s="116">
        <f t="shared" si="179"/>
        <v>57</v>
      </c>
      <c r="BD130" s="118">
        <f t="shared" si="179"/>
        <v>62</v>
      </c>
      <c r="BE130" s="116">
        <f t="shared" si="179"/>
        <v>42</v>
      </c>
      <c r="BF130" s="119">
        <f t="shared" si="179"/>
        <v>54</v>
      </c>
      <c r="BH130" s="56">
        <f>BH71</f>
        <v>0.62499999999999989</v>
      </c>
      <c r="BI130" s="120">
        <f t="shared" ref="BI130:BO130" si="180">IF(SUM(CM71:CM74)&lt;=0, NA(), SUM(CM71:CM74)/AZ130)</f>
        <v>40.682258064516134</v>
      </c>
      <c r="BJ130" s="121">
        <f t="shared" si="180"/>
        <v>37.973809523809521</v>
      </c>
      <c r="BK130" s="115">
        <f t="shared" si="180"/>
        <v>34.745901639344261</v>
      </c>
      <c r="BL130" s="121">
        <f t="shared" si="180"/>
        <v>38.710526315789473</v>
      </c>
      <c r="BM130" s="115">
        <f t="shared" si="180"/>
        <v>33.524193548387096</v>
      </c>
      <c r="BN130" s="121">
        <f t="shared" si="180"/>
        <v>44.240476190476187</v>
      </c>
      <c r="BO130" s="122">
        <f t="shared" si="180"/>
        <v>39.294444444444437</v>
      </c>
      <c r="BQ130" s="56">
        <f>BQ71</f>
        <v>0.62499999999999989</v>
      </c>
      <c r="BR130" s="120">
        <f t="shared" ref="BR130:BX130" si="181">IFERROR(AVERAGE(BR71:BR74), "")</f>
        <v>48.8</v>
      </c>
      <c r="BS130" s="121">
        <f t="shared" si="181"/>
        <v>48.2</v>
      </c>
      <c r="BT130" s="115">
        <f t="shared" si="181"/>
        <v>41.833333333333336</v>
      </c>
      <c r="BU130" s="121">
        <f t="shared" si="181"/>
        <v>44.6</v>
      </c>
      <c r="BV130" s="115">
        <f t="shared" si="181"/>
        <v>40.233333333333341</v>
      </c>
      <c r="BW130" s="121">
        <f t="shared" si="181"/>
        <v>51.599999999999994</v>
      </c>
      <c r="BX130" s="122">
        <f t="shared" si="181"/>
        <v>50.6</v>
      </c>
      <c r="BZ130" s="66"/>
      <c r="CA130" s="414">
        <f t="shared" si="135"/>
        <v>46.55238095238095</v>
      </c>
      <c r="CB130" s="153">
        <f t="shared" si="142"/>
        <v>60</v>
      </c>
      <c r="CM130" s="115"/>
      <c r="CN130" s="115"/>
      <c r="CO130" s="115"/>
      <c r="CP130" s="115"/>
      <c r="CQ130" s="115"/>
      <c r="CR130" s="115"/>
      <c r="CS130" s="115"/>
      <c r="CY130" s="120">
        <f>SUM(CY71:CY74)</f>
        <v>0.8</v>
      </c>
      <c r="CZ130" s="121">
        <f>SUM(CZ71:CZ74)</f>
        <v>49.600000000000009</v>
      </c>
      <c r="DA130" s="115">
        <f>SUM(DA71:DA74)</f>
        <v>3.9999999999999996</v>
      </c>
      <c r="DB130" s="121">
        <f>SUM(DB71:DB74)</f>
        <v>0</v>
      </c>
      <c r="DC130" s="122">
        <f>SUM(DC71:DC74)</f>
        <v>0.8</v>
      </c>
    </row>
    <row r="131" spans="1:107" ht="15" x14ac:dyDescent="0.25">
      <c r="A131" s="190" t="s">
        <v>52</v>
      </c>
      <c r="B131" s="642">
        <v>0</v>
      </c>
      <c r="C131" s="184">
        <v>0</v>
      </c>
      <c r="D131" s="184">
        <v>0</v>
      </c>
      <c r="E131" s="184">
        <v>0</v>
      </c>
      <c r="F131" s="184">
        <v>0</v>
      </c>
      <c r="G131" s="184">
        <v>0</v>
      </c>
      <c r="H131" s="184">
        <v>0</v>
      </c>
      <c r="I131" s="184">
        <v>0</v>
      </c>
      <c r="J131" s="184">
        <v>0</v>
      </c>
      <c r="K131" s="184">
        <v>0</v>
      </c>
      <c r="L131" s="184">
        <v>0</v>
      </c>
      <c r="M131" s="654" t="s">
        <v>24</v>
      </c>
      <c r="N131" s="669" t="s">
        <v>52</v>
      </c>
      <c r="O131" s="642">
        <v>0</v>
      </c>
      <c r="P131" s="184">
        <v>0</v>
      </c>
      <c r="Q131" s="184">
        <v>0</v>
      </c>
      <c r="R131" s="184">
        <v>0</v>
      </c>
      <c r="S131" s="184">
        <v>0</v>
      </c>
      <c r="T131" s="184">
        <v>0</v>
      </c>
      <c r="U131" s="184">
        <v>0</v>
      </c>
      <c r="V131" s="184">
        <v>0</v>
      </c>
      <c r="W131" s="184">
        <v>0</v>
      </c>
      <c r="X131" s="184">
        <v>0</v>
      </c>
      <c r="Y131" s="184">
        <v>0</v>
      </c>
      <c r="Z131" s="184">
        <v>0</v>
      </c>
      <c r="AA131" s="184">
        <v>0</v>
      </c>
      <c r="AB131" s="184">
        <v>0</v>
      </c>
      <c r="AC131" s="185" t="s">
        <v>24</v>
      </c>
      <c r="AD131" s="185" t="s">
        <v>24</v>
      </c>
      <c r="AE131" s="184">
        <v>0</v>
      </c>
      <c r="AF131" s="185">
        <v>0</v>
      </c>
      <c r="AG131" s="184">
        <v>0</v>
      </c>
      <c r="AH131" s="185">
        <v>0</v>
      </c>
      <c r="AI131" s="184">
        <v>0</v>
      </c>
      <c r="AJ131" s="643">
        <v>0</v>
      </c>
      <c r="AP131" s="116">
        <f>SUM(AP75:AP78)</f>
        <v>36</v>
      </c>
      <c r="AR131" s="56">
        <f>AR75</f>
        <v>0.66666666666666641</v>
      </c>
      <c r="AS131" s="117">
        <f>SUM(AS75:AS78)</f>
        <v>1</v>
      </c>
      <c r="AT131" s="116">
        <f>SUM(AT75:AT78)</f>
        <v>56.428571428571431</v>
      </c>
      <c r="AU131" s="118">
        <f>SUM(AU75:AU78)</f>
        <v>5.1428571428571423</v>
      </c>
      <c r="AV131" s="116">
        <f>SUM(AV75:AV78)</f>
        <v>0</v>
      </c>
      <c r="AW131" s="119">
        <f>SUM(AW75:AW78)</f>
        <v>0.2857142857142857</v>
      </c>
      <c r="AY131" s="56">
        <f>AY75</f>
        <v>0.66666666666666641</v>
      </c>
      <c r="AZ131" s="117">
        <f t="shared" ref="AZ131:BF131" si="182">IF(SUM(AZ75:AZ78)&gt;0, SUM(AZ75:AZ78), NA())</f>
        <v>74</v>
      </c>
      <c r="BA131" s="116">
        <f t="shared" si="182"/>
        <v>66</v>
      </c>
      <c r="BB131" s="118">
        <f t="shared" si="182"/>
        <v>75</v>
      </c>
      <c r="BC131" s="116">
        <f t="shared" si="182"/>
        <v>86</v>
      </c>
      <c r="BD131" s="118">
        <f t="shared" si="182"/>
        <v>45</v>
      </c>
      <c r="BE131" s="116">
        <f t="shared" si="182"/>
        <v>31</v>
      </c>
      <c r="BF131" s="119">
        <f t="shared" si="182"/>
        <v>63</v>
      </c>
      <c r="BH131" s="56">
        <f>BH75</f>
        <v>0.66666666666666641</v>
      </c>
      <c r="BI131" s="120">
        <f t="shared" ref="BI131:BO131" si="183">IF(SUM(CM75:CM78)&lt;=0, NA(), SUM(CM75:CM78)/AZ131)</f>
        <v>41.548648648648651</v>
      </c>
      <c r="BJ131" s="121">
        <f t="shared" si="183"/>
        <v>39.719696969696969</v>
      </c>
      <c r="BK131" s="115">
        <f t="shared" si="183"/>
        <v>42.356000000000002</v>
      </c>
      <c r="BL131" s="121">
        <f t="shared" si="183"/>
        <v>43.925581395348836</v>
      </c>
      <c r="BM131" s="115">
        <f t="shared" si="183"/>
        <v>36.275555555555556</v>
      </c>
      <c r="BN131" s="121">
        <f t="shared" si="183"/>
        <v>42.277419354838706</v>
      </c>
      <c r="BO131" s="122">
        <f t="shared" si="183"/>
        <v>42.660317460317465</v>
      </c>
      <c r="BQ131" s="56">
        <f>BQ75</f>
        <v>0.66666666666666641</v>
      </c>
      <c r="BR131" s="120">
        <f t="shared" ref="BR131:BX131" si="184">IFERROR(AVERAGE(BR75:BR78), "")</f>
        <v>48.424999999999997</v>
      </c>
      <c r="BS131" s="121">
        <f t="shared" si="184"/>
        <v>49.2</v>
      </c>
      <c r="BT131" s="115">
        <f t="shared" si="184"/>
        <v>49.699999999999996</v>
      </c>
      <c r="BU131" s="121">
        <f t="shared" si="184"/>
        <v>51.475000000000001</v>
      </c>
      <c r="BV131" s="115">
        <f t="shared" si="184"/>
        <v>46.349999999999994</v>
      </c>
      <c r="BW131" s="121" t="str">
        <f t="shared" si="184"/>
        <v/>
      </c>
      <c r="BX131" s="122">
        <f t="shared" si="184"/>
        <v>50.900000000000006</v>
      </c>
      <c r="BZ131" s="66"/>
      <c r="CA131" s="414">
        <f t="shared" si="135"/>
        <v>49.341666666666661</v>
      </c>
      <c r="CB131" s="153">
        <f t="shared" si="142"/>
        <v>60</v>
      </c>
      <c r="CM131" s="115"/>
      <c r="CN131" s="115"/>
      <c r="CO131" s="115"/>
      <c r="CP131" s="115"/>
      <c r="CQ131" s="115"/>
      <c r="CR131" s="115"/>
      <c r="CS131" s="115"/>
      <c r="CY131" s="120">
        <f>SUM(CY75:CY78)</f>
        <v>1.2000000000000002</v>
      </c>
      <c r="CZ131" s="121">
        <f>SUM(CZ75:CZ78)</f>
        <v>64.599999999999994</v>
      </c>
      <c r="DA131" s="115">
        <f>SUM(DA75:DA78)</f>
        <v>6.8000000000000007</v>
      </c>
      <c r="DB131" s="121">
        <f>SUM(DB75:DB78)</f>
        <v>0</v>
      </c>
      <c r="DC131" s="122">
        <f>SUM(DC75:DC78)</f>
        <v>0.2</v>
      </c>
    </row>
    <row r="132" spans="1:107" ht="15" x14ac:dyDescent="0.25">
      <c r="A132" s="190" t="s">
        <v>54</v>
      </c>
      <c r="B132" s="642">
        <v>1</v>
      </c>
      <c r="C132" s="184">
        <v>0</v>
      </c>
      <c r="D132" s="184">
        <v>1</v>
      </c>
      <c r="E132" s="184">
        <v>0</v>
      </c>
      <c r="F132" s="184">
        <v>0</v>
      </c>
      <c r="G132" s="184">
        <v>0</v>
      </c>
      <c r="H132" s="184">
        <v>0</v>
      </c>
      <c r="I132" s="184">
        <v>0</v>
      </c>
      <c r="J132" s="184">
        <v>0</v>
      </c>
      <c r="K132" s="184">
        <v>0</v>
      </c>
      <c r="L132" s="184">
        <v>0</v>
      </c>
      <c r="M132" s="654" t="s">
        <v>24</v>
      </c>
      <c r="N132" s="669" t="s">
        <v>54</v>
      </c>
      <c r="O132" s="642">
        <v>0</v>
      </c>
      <c r="P132" s="184">
        <v>0</v>
      </c>
      <c r="Q132" s="184">
        <v>0</v>
      </c>
      <c r="R132" s="184">
        <v>0</v>
      </c>
      <c r="S132" s="184">
        <v>0</v>
      </c>
      <c r="T132" s="184">
        <v>0</v>
      </c>
      <c r="U132" s="184">
        <v>0</v>
      </c>
      <c r="V132" s="184">
        <v>0</v>
      </c>
      <c r="W132" s="184">
        <v>0</v>
      </c>
      <c r="X132" s="184">
        <v>1</v>
      </c>
      <c r="Y132" s="184">
        <v>0</v>
      </c>
      <c r="Z132" s="184">
        <v>0</v>
      </c>
      <c r="AA132" s="184">
        <v>0</v>
      </c>
      <c r="AB132" s="184">
        <v>0</v>
      </c>
      <c r="AC132" s="185">
        <v>51.3</v>
      </c>
      <c r="AD132" s="185" t="s">
        <v>24</v>
      </c>
      <c r="AE132" s="184">
        <v>0</v>
      </c>
      <c r="AF132" s="185">
        <v>0</v>
      </c>
      <c r="AG132" s="184">
        <v>0</v>
      </c>
      <c r="AH132" s="185">
        <v>0</v>
      </c>
      <c r="AI132" s="184">
        <v>0</v>
      </c>
      <c r="AJ132" s="643">
        <v>0</v>
      </c>
      <c r="AP132" s="116">
        <f>SUM(AP79:AP82)</f>
        <v>40</v>
      </c>
      <c r="AR132" s="56">
        <f>AR79</f>
        <v>0.70833333333333293</v>
      </c>
      <c r="AS132" s="117">
        <f>SUM(AS79:AS82)</f>
        <v>1.5714285714285714</v>
      </c>
      <c r="AT132" s="116">
        <f>SUM(AT79:AT82)</f>
        <v>68.428571428571431</v>
      </c>
      <c r="AU132" s="118">
        <f>SUM(AU79:AU82)</f>
        <v>5.7142857142857144</v>
      </c>
      <c r="AV132" s="116">
        <f>SUM(AV79:AV82)</f>
        <v>0.14285714285714285</v>
      </c>
      <c r="AW132" s="119">
        <f>SUM(AW79:AW82)</f>
        <v>0</v>
      </c>
      <c r="AY132" s="56">
        <f>AY79</f>
        <v>0.70833333333333293</v>
      </c>
      <c r="AZ132" s="117">
        <f t="shared" ref="AZ132:BF132" si="185">IF(SUM(AZ79:AZ82)&gt;0, SUM(AZ79:AZ82), NA())</f>
        <v>79</v>
      </c>
      <c r="BA132" s="116">
        <f t="shared" si="185"/>
        <v>101</v>
      </c>
      <c r="BB132" s="118">
        <f t="shared" si="185"/>
        <v>85</v>
      </c>
      <c r="BC132" s="116">
        <f t="shared" si="185"/>
        <v>81</v>
      </c>
      <c r="BD132" s="118">
        <f t="shared" si="185"/>
        <v>37</v>
      </c>
      <c r="BE132" s="116">
        <f t="shared" si="185"/>
        <v>37</v>
      </c>
      <c r="BF132" s="119">
        <f t="shared" si="185"/>
        <v>111</v>
      </c>
      <c r="BH132" s="56">
        <f>BH79</f>
        <v>0.70833333333333293</v>
      </c>
      <c r="BI132" s="120">
        <f t="shared" ref="BI132:BO132" si="186">IF(SUM(CM79:CM82)&lt;=0, NA(), SUM(CM79:CM82)/AZ132)</f>
        <v>43.803797468354439</v>
      </c>
      <c r="BJ132" s="121">
        <f t="shared" si="186"/>
        <v>44.224752475247534</v>
      </c>
      <c r="BK132" s="115">
        <f t="shared" si="186"/>
        <v>43.34470588235294</v>
      </c>
      <c r="BL132" s="121">
        <f t="shared" si="186"/>
        <v>44.829629629629629</v>
      </c>
      <c r="BM132" s="115">
        <f t="shared" si="186"/>
        <v>41.732432432432439</v>
      </c>
      <c r="BN132" s="121">
        <f t="shared" si="186"/>
        <v>41.01081081081081</v>
      </c>
      <c r="BO132" s="122">
        <f t="shared" si="186"/>
        <v>46.008108108108104</v>
      </c>
      <c r="BQ132" s="56">
        <f>BQ79</f>
        <v>0.70833333333333293</v>
      </c>
      <c r="BR132" s="120">
        <f t="shared" ref="BR132:BX132" si="187">IFERROR(AVERAGE(BR79:BR82), "")</f>
        <v>53.574999999999996</v>
      </c>
      <c r="BS132" s="121">
        <f t="shared" si="187"/>
        <v>53.774999999999991</v>
      </c>
      <c r="BT132" s="115">
        <f t="shared" si="187"/>
        <v>51.3</v>
      </c>
      <c r="BU132" s="121">
        <f t="shared" si="187"/>
        <v>52.625</v>
      </c>
      <c r="BV132" s="115">
        <f t="shared" si="187"/>
        <v>47.75</v>
      </c>
      <c r="BW132" s="121">
        <f t="shared" si="187"/>
        <v>49.7</v>
      </c>
      <c r="BX132" s="122">
        <f t="shared" si="187"/>
        <v>51.95</v>
      </c>
      <c r="BZ132" s="66"/>
      <c r="CA132" s="414">
        <f t="shared" si="135"/>
        <v>51.524999999999991</v>
      </c>
      <c r="CB132" s="153">
        <f t="shared" si="142"/>
        <v>60</v>
      </c>
      <c r="CM132" s="115"/>
      <c r="CN132" s="115"/>
      <c r="CO132" s="115"/>
      <c r="CP132" s="115"/>
      <c r="CQ132" s="115"/>
      <c r="CR132" s="115"/>
      <c r="CS132" s="115"/>
      <c r="CY132" s="120">
        <f>SUM(CY79:CY82)</f>
        <v>1.8</v>
      </c>
      <c r="CZ132" s="121">
        <f>SUM(CZ79:CZ82)</f>
        <v>82.4</v>
      </c>
      <c r="DA132" s="115">
        <f>SUM(DA79:DA82)</f>
        <v>7</v>
      </c>
      <c r="DB132" s="121">
        <f>SUM(DB79:DB82)</f>
        <v>0.2</v>
      </c>
      <c r="DC132" s="122">
        <f>SUM(DC79:DC82)</f>
        <v>0</v>
      </c>
    </row>
    <row r="133" spans="1:107" ht="15" x14ac:dyDescent="0.25">
      <c r="A133" s="190" t="s">
        <v>56</v>
      </c>
      <c r="B133" s="642">
        <v>0</v>
      </c>
      <c r="C133" s="184">
        <v>0</v>
      </c>
      <c r="D133" s="184">
        <v>0</v>
      </c>
      <c r="E133" s="184">
        <v>0</v>
      </c>
      <c r="F133" s="184">
        <v>0</v>
      </c>
      <c r="G133" s="184">
        <v>0</v>
      </c>
      <c r="H133" s="184">
        <v>0</v>
      </c>
      <c r="I133" s="184">
        <v>0</v>
      </c>
      <c r="J133" s="184">
        <v>0</v>
      </c>
      <c r="K133" s="184">
        <v>0</v>
      </c>
      <c r="L133" s="184">
        <v>0</v>
      </c>
      <c r="M133" s="654" t="s">
        <v>24</v>
      </c>
      <c r="N133" s="669" t="s">
        <v>56</v>
      </c>
      <c r="O133" s="642">
        <v>0</v>
      </c>
      <c r="P133" s="184">
        <v>0</v>
      </c>
      <c r="Q133" s="184">
        <v>0</v>
      </c>
      <c r="R133" s="184">
        <v>0</v>
      </c>
      <c r="S133" s="184">
        <v>0</v>
      </c>
      <c r="T133" s="184">
        <v>0</v>
      </c>
      <c r="U133" s="184">
        <v>0</v>
      </c>
      <c r="V133" s="184">
        <v>0</v>
      </c>
      <c r="W133" s="184">
        <v>0</v>
      </c>
      <c r="X133" s="184">
        <v>0</v>
      </c>
      <c r="Y133" s="184">
        <v>0</v>
      </c>
      <c r="Z133" s="184">
        <v>0</v>
      </c>
      <c r="AA133" s="184">
        <v>0</v>
      </c>
      <c r="AB133" s="184">
        <v>0</v>
      </c>
      <c r="AC133" s="185" t="s">
        <v>24</v>
      </c>
      <c r="AD133" s="185" t="s">
        <v>24</v>
      </c>
      <c r="AE133" s="184">
        <v>0</v>
      </c>
      <c r="AF133" s="185">
        <v>0</v>
      </c>
      <c r="AG133" s="184">
        <v>0</v>
      </c>
      <c r="AH133" s="185">
        <v>0</v>
      </c>
      <c r="AI133" s="184">
        <v>0</v>
      </c>
      <c r="AJ133" s="643">
        <v>0</v>
      </c>
      <c r="AP133" s="116">
        <f>SUM(AP83:AP86)</f>
        <v>20</v>
      </c>
      <c r="AR133" s="56">
        <f>AR83</f>
        <v>0.74999999999999944</v>
      </c>
      <c r="AS133" s="130">
        <f>SUM(AS83:AS86)</f>
        <v>1.1428571428571428</v>
      </c>
      <c r="AT133" s="131">
        <f>SUM(AT83:AT86)</f>
        <v>40.285714285714285</v>
      </c>
      <c r="AU133" s="132">
        <f>SUM(AU83:AU86)</f>
        <v>2.8571428571428568</v>
      </c>
      <c r="AV133" s="131">
        <f>SUM(AV83:AV86)</f>
        <v>0</v>
      </c>
      <c r="AW133" s="133">
        <f>SUM(AW83:AW86)</f>
        <v>0</v>
      </c>
      <c r="AY133" s="56">
        <f>AY83</f>
        <v>0.74999999999999944</v>
      </c>
      <c r="AZ133" s="130">
        <f t="shared" ref="AZ133:BF133" si="188">IF(SUM(AZ83:AZ86)&gt;0, SUM(AZ83:AZ86), NA())</f>
        <v>56</v>
      </c>
      <c r="BA133" s="131">
        <f t="shared" si="188"/>
        <v>56</v>
      </c>
      <c r="BB133" s="132">
        <f t="shared" si="188"/>
        <v>42</v>
      </c>
      <c r="BC133" s="131">
        <f t="shared" si="188"/>
        <v>47</v>
      </c>
      <c r="BD133" s="132">
        <f t="shared" si="188"/>
        <v>26</v>
      </c>
      <c r="BE133" s="131">
        <f t="shared" si="188"/>
        <v>27</v>
      </c>
      <c r="BF133" s="133">
        <f t="shared" si="188"/>
        <v>56</v>
      </c>
      <c r="BH133" s="56">
        <f>BH83</f>
        <v>0.74999999999999944</v>
      </c>
      <c r="BI133" s="134">
        <f t="shared" ref="BI133:BO133" si="189">IF(SUM(CM83:CM86)&lt;=0, NA(), SUM(CM83:CM86)/AZ133)</f>
        <v>45.705357142857146</v>
      </c>
      <c r="BJ133" s="135">
        <f t="shared" si="189"/>
        <v>43.144642857142856</v>
      </c>
      <c r="BK133" s="136">
        <f t="shared" si="189"/>
        <v>43.364285714285714</v>
      </c>
      <c r="BL133" s="135">
        <f t="shared" si="189"/>
        <v>43.457446808510639</v>
      </c>
      <c r="BM133" s="136">
        <f t="shared" si="189"/>
        <v>40.299999999999997</v>
      </c>
      <c r="BN133" s="135">
        <f t="shared" si="189"/>
        <v>43.203703703703702</v>
      </c>
      <c r="BO133" s="137">
        <f t="shared" si="189"/>
        <v>44.55535714285714</v>
      </c>
      <c r="BQ133" s="56">
        <f>BQ83</f>
        <v>0.74999999999999944</v>
      </c>
      <c r="BR133" s="134">
        <f t="shared" ref="BR133:BX133" si="190">IFERROR(AVERAGE(BR83:BR86), "")</f>
        <v>53.166666666666664</v>
      </c>
      <c r="BS133" s="135">
        <f t="shared" si="190"/>
        <v>52.1</v>
      </c>
      <c r="BT133" s="136">
        <f t="shared" si="190"/>
        <v>48.35</v>
      </c>
      <c r="BU133" s="135">
        <f t="shared" si="190"/>
        <v>50.599999999999994</v>
      </c>
      <c r="BV133" s="136">
        <f t="shared" si="190"/>
        <v>51.2</v>
      </c>
      <c r="BW133" s="135">
        <f t="shared" si="190"/>
        <v>53.1</v>
      </c>
      <c r="BX133" s="137">
        <f t="shared" si="190"/>
        <v>52.5</v>
      </c>
      <c r="BZ133" s="66"/>
      <c r="CA133" s="414">
        <f t="shared" si="135"/>
        <v>51.57380952380953</v>
      </c>
      <c r="CB133" s="153">
        <f t="shared" si="142"/>
        <v>60</v>
      </c>
      <c r="CM133" s="115"/>
      <c r="CN133" s="115"/>
      <c r="CO133" s="115"/>
      <c r="CP133" s="115"/>
      <c r="CQ133" s="115"/>
      <c r="CR133" s="115"/>
      <c r="CS133" s="115"/>
      <c r="CY133" s="134">
        <f>SUM(CY83:CY86)</f>
        <v>1.4</v>
      </c>
      <c r="CZ133" s="135">
        <f>SUM(CZ83:CZ86)</f>
        <v>46.599999999999994</v>
      </c>
      <c r="DA133" s="136">
        <f>SUM(DA83:DA86)</f>
        <v>3.4</v>
      </c>
      <c r="DB133" s="135">
        <f>SUM(DB83:DB86)</f>
        <v>0</v>
      </c>
      <c r="DC133" s="137">
        <f>SUM(DC83:DC86)</f>
        <v>0</v>
      </c>
    </row>
    <row r="134" spans="1:107" ht="15" x14ac:dyDescent="0.25">
      <c r="A134" s="190" t="s">
        <v>43</v>
      </c>
      <c r="B134" s="642">
        <v>0</v>
      </c>
      <c r="C134" s="184">
        <v>0</v>
      </c>
      <c r="D134" s="184">
        <v>0</v>
      </c>
      <c r="E134" s="184">
        <v>0</v>
      </c>
      <c r="F134" s="184">
        <v>0</v>
      </c>
      <c r="G134" s="184">
        <v>0</v>
      </c>
      <c r="H134" s="184">
        <v>0</v>
      </c>
      <c r="I134" s="184">
        <v>0</v>
      </c>
      <c r="J134" s="184">
        <v>0</v>
      </c>
      <c r="K134" s="184">
        <v>0</v>
      </c>
      <c r="L134" s="184">
        <v>0</v>
      </c>
      <c r="M134" s="654" t="s">
        <v>24</v>
      </c>
      <c r="N134" s="669" t="s">
        <v>43</v>
      </c>
      <c r="O134" s="642">
        <v>0</v>
      </c>
      <c r="P134" s="184">
        <v>0</v>
      </c>
      <c r="Q134" s="184">
        <v>0</v>
      </c>
      <c r="R134" s="184">
        <v>0</v>
      </c>
      <c r="S134" s="184">
        <v>0</v>
      </c>
      <c r="T134" s="184">
        <v>0</v>
      </c>
      <c r="U134" s="184">
        <v>0</v>
      </c>
      <c r="V134" s="184">
        <v>0</v>
      </c>
      <c r="W134" s="184">
        <v>0</v>
      </c>
      <c r="X134" s="184">
        <v>0</v>
      </c>
      <c r="Y134" s="184">
        <v>0</v>
      </c>
      <c r="Z134" s="184">
        <v>0</v>
      </c>
      <c r="AA134" s="184">
        <v>0</v>
      </c>
      <c r="AB134" s="184">
        <v>0</v>
      </c>
      <c r="AC134" s="185" t="s">
        <v>24</v>
      </c>
      <c r="AD134" s="185" t="s">
        <v>24</v>
      </c>
      <c r="AE134" s="184">
        <v>0</v>
      </c>
      <c r="AF134" s="185">
        <v>0</v>
      </c>
      <c r="AG134" s="184">
        <v>0</v>
      </c>
      <c r="AH134" s="185">
        <v>0</v>
      </c>
      <c r="AI134" s="184">
        <v>0</v>
      </c>
      <c r="AJ134" s="643">
        <v>0</v>
      </c>
      <c r="AP134" s="116">
        <f>SUM(AP87:AP90)</f>
        <v>19</v>
      </c>
      <c r="AR134" s="56">
        <f>AR87</f>
        <v>0.79166666666666596</v>
      </c>
      <c r="AS134" s="117">
        <f>SUM(AS87:AS90)</f>
        <v>0.5714285714285714</v>
      </c>
      <c r="AT134" s="116">
        <f>SUM(AT87:AT90)</f>
        <v>39.285714285714285</v>
      </c>
      <c r="AU134" s="118">
        <f>SUM(AU87:AU90)</f>
        <v>2.714285714285714</v>
      </c>
      <c r="AV134" s="116">
        <f>SUM(AV87:AV90)</f>
        <v>0.14285714285714285</v>
      </c>
      <c r="AW134" s="119">
        <f>SUM(AW87:AW90)</f>
        <v>0</v>
      </c>
      <c r="AY134" s="56">
        <f>AY87</f>
        <v>0.79166666666666596</v>
      </c>
      <c r="AZ134" s="117">
        <f t="shared" ref="AZ134:BF134" si="191">IF(SUM(AZ87:AZ90)&gt;0, SUM(AZ87:AZ90), NA())</f>
        <v>47</v>
      </c>
      <c r="BA134" s="116">
        <f t="shared" si="191"/>
        <v>48</v>
      </c>
      <c r="BB134" s="118">
        <f t="shared" si="191"/>
        <v>63</v>
      </c>
      <c r="BC134" s="116">
        <f t="shared" si="191"/>
        <v>44</v>
      </c>
      <c r="BD134" s="118">
        <f t="shared" si="191"/>
        <v>35</v>
      </c>
      <c r="BE134" s="116">
        <f t="shared" si="191"/>
        <v>30</v>
      </c>
      <c r="BF134" s="119">
        <f t="shared" si="191"/>
        <v>32</v>
      </c>
      <c r="BH134" s="56">
        <f>BH87</f>
        <v>0.79166666666666596</v>
      </c>
      <c r="BI134" s="120">
        <f t="shared" ref="BI134:BO134" si="192">IF(SUM(CM87:CM90)&lt;=0, NA(), SUM(CM87:CM90)/AZ134)</f>
        <v>44.742553191489364</v>
      </c>
      <c r="BJ134" s="121">
        <f t="shared" si="192"/>
        <v>45.054166666666674</v>
      </c>
      <c r="BK134" s="115">
        <f t="shared" si="192"/>
        <v>44.566666666666663</v>
      </c>
      <c r="BL134" s="121">
        <f t="shared" si="192"/>
        <v>45.979545454545452</v>
      </c>
      <c r="BM134" s="115">
        <f t="shared" si="192"/>
        <v>41.39714285714286</v>
      </c>
      <c r="BN134" s="121">
        <f t="shared" si="192"/>
        <v>43.220000000000006</v>
      </c>
      <c r="BO134" s="122">
        <f t="shared" si="192"/>
        <v>37.246875000000003</v>
      </c>
      <c r="BQ134" s="56">
        <f>BQ87</f>
        <v>0.79166666666666596</v>
      </c>
      <c r="BR134" s="120">
        <f t="shared" ref="BR134:BX134" si="193">IFERROR(AVERAGE(BR87:BR90), "")</f>
        <v>51.15</v>
      </c>
      <c r="BS134" s="121">
        <f t="shared" si="193"/>
        <v>54.79999999999999</v>
      </c>
      <c r="BT134" s="115">
        <f t="shared" si="193"/>
        <v>52.849999999999994</v>
      </c>
      <c r="BU134" s="121">
        <f t="shared" si="193"/>
        <v>55.55</v>
      </c>
      <c r="BV134" s="115">
        <f t="shared" si="193"/>
        <v>52.5</v>
      </c>
      <c r="BW134" s="121" t="str">
        <f t="shared" si="193"/>
        <v/>
      </c>
      <c r="BX134" s="122">
        <f t="shared" si="193"/>
        <v>55.4</v>
      </c>
      <c r="BZ134" s="66"/>
      <c r="CA134" s="414">
        <f t="shared" si="135"/>
        <v>53.708333333333321</v>
      </c>
      <c r="CB134" s="153">
        <f t="shared" si="142"/>
        <v>60</v>
      </c>
      <c r="CM134" s="115"/>
      <c r="CN134" s="115"/>
      <c r="CO134" s="115"/>
      <c r="CP134" s="115"/>
      <c r="CQ134" s="115"/>
      <c r="CR134" s="115"/>
      <c r="CS134" s="115"/>
      <c r="CY134" s="120">
        <f>SUM(CY87:CY90)</f>
        <v>0.60000000000000009</v>
      </c>
      <c r="CZ134" s="121">
        <f>SUM(CZ87:CZ90)</f>
        <v>43</v>
      </c>
      <c r="DA134" s="115">
        <f>SUM(DA87:DA90)</f>
        <v>3</v>
      </c>
      <c r="DB134" s="121">
        <f>SUM(DB87:DB90)</f>
        <v>0.2</v>
      </c>
      <c r="DC134" s="122">
        <f>SUM(DC87:DC90)</f>
        <v>0</v>
      </c>
    </row>
    <row r="135" spans="1:107" ht="15" x14ac:dyDescent="0.25">
      <c r="A135" s="190" t="s">
        <v>59</v>
      </c>
      <c r="B135" s="642">
        <v>1</v>
      </c>
      <c r="C135" s="184">
        <v>0</v>
      </c>
      <c r="D135" s="184">
        <v>1</v>
      </c>
      <c r="E135" s="184">
        <v>0</v>
      </c>
      <c r="F135" s="184">
        <v>0</v>
      </c>
      <c r="G135" s="184">
        <v>0</v>
      </c>
      <c r="H135" s="184">
        <v>0</v>
      </c>
      <c r="I135" s="184">
        <v>0</v>
      </c>
      <c r="J135" s="184">
        <v>0</v>
      </c>
      <c r="K135" s="184">
        <v>0</v>
      </c>
      <c r="L135" s="184">
        <v>0</v>
      </c>
      <c r="M135" s="654" t="s">
        <v>24</v>
      </c>
      <c r="N135" s="669" t="s">
        <v>59</v>
      </c>
      <c r="O135" s="642">
        <v>0</v>
      </c>
      <c r="P135" s="184">
        <v>0</v>
      </c>
      <c r="Q135" s="184">
        <v>0</v>
      </c>
      <c r="R135" s="184">
        <v>0</v>
      </c>
      <c r="S135" s="184">
        <v>0</v>
      </c>
      <c r="T135" s="184">
        <v>0</v>
      </c>
      <c r="U135" s="184">
        <v>0</v>
      </c>
      <c r="V135" s="184">
        <v>0</v>
      </c>
      <c r="W135" s="184">
        <v>1</v>
      </c>
      <c r="X135" s="184">
        <v>0</v>
      </c>
      <c r="Y135" s="184">
        <v>0</v>
      </c>
      <c r="Z135" s="184">
        <v>0</v>
      </c>
      <c r="AA135" s="184">
        <v>0</v>
      </c>
      <c r="AB135" s="184">
        <v>0</v>
      </c>
      <c r="AC135" s="185">
        <v>47.2</v>
      </c>
      <c r="AD135" s="185" t="s">
        <v>24</v>
      </c>
      <c r="AE135" s="184">
        <v>0</v>
      </c>
      <c r="AF135" s="185">
        <v>0</v>
      </c>
      <c r="AG135" s="184">
        <v>0</v>
      </c>
      <c r="AH135" s="185">
        <v>0</v>
      </c>
      <c r="AI135" s="184">
        <v>0</v>
      </c>
      <c r="AJ135" s="643">
        <v>0</v>
      </c>
      <c r="AP135" s="116">
        <f>SUM(AP91:AP94)</f>
        <v>8</v>
      </c>
      <c r="AR135" s="56">
        <f>AR91</f>
        <v>0.83333333333333248</v>
      </c>
      <c r="AS135" s="117">
        <f>SUM(AS91:AS94)</f>
        <v>0.14285714285714285</v>
      </c>
      <c r="AT135" s="116">
        <f>SUM(AT91:AT94)</f>
        <v>23.285714285714285</v>
      </c>
      <c r="AU135" s="118">
        <f>SUM(AU91:AU94)</f>
        <v>1.1428571428571428</v>
      </c>
      <c r="AV135" s="116">
        <f>SUM(AV91:AV94)</f>
        <v>0</v>
      </c>
      <c r="AW135" s="119">
        <f>SUM(AW91:AW94)</f>
        <v>0</v>
      </c>
      <c r="AY135" s="56">
        <f>AY91</f>
        <v>0.83333333333333248</v>
      </c>
      <c r="AZ135" s="117">
        <f t="shared" ref="AZ135:BF135" si="194">IF(SUM(AZ91:AZ94)&gt;0, SUM(AZ91:AZ94), NA())</f>
        <v>22</v>
      </c>
      <c r="BA135" s="116">
        <f t="shared" si="194"/>
        <v>36</v>
      </c>
      <c r="BB135" s="118">
        <f t="shared" si="194"/>
        <v>33</v>
      </c>
      <c r="BC135" s="116">
        <f t="shared" si="194"/>
        <v>29</v>
      </c>
      <c r="BD135" s="118">
        <f t="shared" si="194"/>
        <v>18</v>
      </c>
      <c r="BE135" s="116">
        <f t="shared" si="194"/>
        <v>17</v>
      </c>
      <c r="BF135" s="119">
        <f t="shared" si="194"/>
        <v>17</v>
      </c>
      <c r="BH135" s="56">
        <f>BH91</f>
        <v>0.83333333333333248</v>
      </c>
      <c r="BI135" s="120">
        <f t="shared" ref="BI135:BO135" si="195">IF(SUM(CM91:CM94)&lt;=0, NA(), SUM(CM91:CM94)/AZ135)</f>
        <v>43.154545454545456</v>
      </c>
      <c r="BJ135" s="121">
        <f t="shared" si="195"/>
        <v>44.083333333333336</v>
      </c>
      <c r="BK135" s="115">
        <f t="shared" si="195"/>
        <v>47.275757575757581</v>
      </c>
      <c r="BL135" s="121">
        <f t="shared" si="195"/>
        <v>43.413793103448278</v>
      </c>
      <c r="BM135" s="115">
        <f t="shared" si="195"/>
        <v>42.055555555555557</v>
      </c>
      <c r="BN135" s="121">
        <f t="shared" si="195"/>
        <v>43.288235294117648</v>
      </c>
      <c r="BO135" s="122">
        <f t="shared" si="195"/>
        <v>42.094117647058816</v>
      </c>
      <c r="BQ135" s="56">
        <f>BQ91</f>
        <v>0.83333333333333248</v>
      </c>
      <c r="BR135" s="120" t="str">
        <f t="shared" ref="BR135:BX135" si="196">IFERROR(AVERAGE(BR91:BR94), "")</f>
        <v/>
      </c>
      <c r="BS135" s="121">
        <f t="shared" si="196"/>
        <v>49.4</v>
      </c>
      <c r="BT135" s="115">
        <f t="shared" si="196"/>
        <v>56</v>
      </c>
      <c r="BU135" s="121">
        <f t="shared" si="196"/>
        <v>59.3</v>
      </c>
      <c r="BV135" s="115" t="str">
        <f t="shared" si="196"/>
        <v/>
      </c>
      <c r="BW135" s="121" t="str">
        <f t="shared" si="196"/>
        <v/>
      </c>
      <c r="BX135" s="122" t="str">
        <f t="shared" si="196"/>
        <v/>
      </c>
      <c r="BZ135" s="66"/>
      <c r="CA135" s="414">
        <f t="shared" si="135"/>
        <v>54.9</v>
      </c>
      <c r="CB135" s="153">
        <f t="shared" si="142"/>
        <v>60</v>
      </c>
      <c r="CM135" s="115"/>
      <c r="CN135" s="115"/>
      <c r="CO135" s="115"/>
      <c r="CP135" s="115"/>
      <c r="CQ135" s="115"/>
      <c r="CR135" s="115"/>
      <c r="CS135" s="115"/>
      <c r="CY135" s="120">
        <f>SUM(CY91:CY94)</f>
        <v>0.2</v>
      </c>
      <c r="CZ135" s="121">
        <f>SUM(CZ91:CZ94)</f>
        <v>25.799999999999997</v>
      </c>
      <c r="DA135" s="115">
        <f>SUM(DA91:DA94)</f>
        <v>1.4</v>
      </c>
      <c r="DB135" s="121">
        <f>SUM(DB91:DB94)</f>
        <v>0</v>
      </c>
      <c r="DC135" s="122">
        <f>SUM(DC91:DC94)</f>
        <v>0</v>
      </c>
    </row>
    <row r="136" spans="1:107" ht="15" x14ac:dyDescent="0.25">
      <c r="A136" s="190" t="s">
        <v>61</v>
      </c>
      <c r="B136" s="642">
        <v>0</v>
      </c>
      <c r="C136" s="184">
        <v>0</v>
      </c>
      <c r="D136" s="184">
        <v>0</v>
      </c>
      <c r="E136" s="184">
        <v>0</v>
      </c>
      <c r="F136" s="184">
        <v>0</v>
      </c>
      <c r="G136" s="184">
        <v>0</v>
      </c>
      <c r="H136" s="184">
        <v>0</v>
      </c>
      <c r="I136" s="184">
        <v>0</v>
      </c>
      <c r="J136" s="184">
        <v>0</v>
      </c>
      <c r="K136" s="184">
        <v>0</v>
      </c>
      <c r="L136" s="184">
        <v>0</v>
      </c>
      <c r="M136" s="654" t="s">
        <v>24</v>
      </c>
      <c r="N136" s="669" t="s">
        <v>61</v>
      </c>
      <c r="O136" s="642">
        <v>0</v>
      </c>
      <c r="P136" s="184">
        <v>0</v>
      </c>
      <c r="Q136" s="184">
        <v>0</v>
      </c>
      <c r="R136" s="184">
        <v>0</v>
      </c>
      <c r="S136" s="184">
        <v>0</v>
      </c>
      <c r="T136" s="184">
        <v>0</v>
      </c>
      <c r="U136" s="184">
        <v>0</v>
      </c>
      <c r="V136" s="184">
        <v>0</v>
      </c>
      <c r="W136" s="184">
        <v>0</v>
      </c>
      <c r="X136" s="184">
        <v>0</v>
      </c>
      <c r="Y136" s="184">
        <v>0</v>
      </c>
      <c r="Z136" s="184">
        <v>0</v>
      </c>
      <c r="AA136" s="184">
        <v>0</v>
      </c>
      <c r="AB136" s="184">
        <v>0</v>
      </c>
      <c r="AC136" s="185" t="s">
        <v>24</v>
      </c>
      <c r="AD136" s="185" t="s">
        <v>24</v>
      </c>
      <c r="AE136" s="184">
        <v>0</v>
      </c>
      <c r="AF136" s="185">
        <v>0</v>
      </c>
      <c r="AG136" s="184">
        <v>0</v>
      </c>
      <c r="AH136" s="185">
        <v>0</v>
      </c>
      <c r="AI136" s="184">
        <v>0</v>
      </c>
      <c r="AJ136" s="643">
        <v>0</v>
      </c>
      <c r="AP136" s="116">
        <f>SUM(AP95:AP98)</f>
        <v>3</v>
      </c>
      <c r="AR136" s="56">
        <f>AR95</f>
        <v>0.874999999999999</v>
      </c>
      <c r="AS136" s="117">
        <f>SUM(AS95:AS98)</f>
        <v>0.2857142857142857</v>
      </c>
      <c r="AT136" s="116">
        <f>SUM(AT95:AT98)</f>
        <v>17.571428571428573</v>
      </c>
      <c r="AU136" s="118">
        <f>SUM(AU95:AU98)</f>
        <v>0.42857142857142855</v>
      </c>
      <c r="AV136" s="116">
        <f>SUM(AV95:AV98)</f>
        <v>0</v>
      </c>
      <c r="AW136" s="119">
        <f>SUM(AW95:AW98)</f>
        <v>0</v>
      </c>
      <c r="AY136" s="56">
        <f>AY95</f>
        <v>0.874999999999999</v>
      </c>
      <c r="AZ136" s="117">
        <f t="shared" ref="AZ136:BF136" si="197">IF(SUM(AZ95:AZ98)&gt;0, SUM(AZ95:AZ98), NA())</f>
        <v>10</v>
      </c>
      <c r="BA136" s="116">
        <f t="shared" si="197"/>
        <v>24</v>
      </c>
      <c r="BB136" s="118">
        <f t="shared" si="197"/>
        <v>21</v>
      </c>
      <c r="BC136" s="116">
        <f t="shared" si="197"/>
        <v>25</v>
      </c>
      <c r="BD136" s="118">
        <f t="shared" si="197"/>
        <v>16</v>
      </c>
      <c r="BE136" s="116">
        <f t="shared" si="197"/>
        <v>13</v>
      </c>
      <c r="BF136" s="119">
        <f t="shared" si="197"/>
        <v>19</v>
      </c>
      <c r="BH136" s="56">
        <f>BH95</f>
        <v>0.874999999999999</v>
      </c>
      <c r="BI136" s="120">
        <f t="shared" ref="BI136:BO136" si="198">IF(SUM(CM95:CM98)&lt;=0, NA(), SUM(CM95:CM98)/AZ136)</f>
        <v>45.42</v>
      </c>
      <c r="BJ136" s="121">
        <f t="shared" si="198"/>
        <v>42.179166666666667</v>
      </c>
      <c r="BK136" s="115">
        <f t="shared" si="198"/>
        <v>43.647619047619045</v>
      </c>
      <c r="BL136" s="121">
        <f t="shared" si="198"/>
        <v>46.631999999999998</v>
      </c>
      <c r="BM136" s="115">
        <f t="shared" si="198"/>
        <v>42.706249999999997</v>
      </c>
      <c r="BN136" s="121">
        <f t="shared" si="198"/>
        <v>46.646153846153844</v>
      </c>
      <c r="BO136" s="122">
        <f t="shared" si="198"/>
        <v>44.452631578947361</v>
      </c>
      <c r="BQ136" s="56">
        <f>BQ95</f>
        <v>0.874999999999999</v>
      </c>
      <c r="BR136" s="120" t="str">
        <f t="shared" ref="BR136:BX136" si="199">IFERROR(AVERAGE(BR95:BR98), "")</f>
        <v/>
      </c>
      <c r="BS136" s="121" t="str">
        <f t="shared" si="199"/>
        <v/>
      </c>
      <c r="BT136" s="115" t="str">
        <f t="shared" si="199"/>
        <v/>
      </c>
      <c r="BU136" s="121">
        <f t="shared" si="199"/>
        <v>51</v>
      </c>
      <c r="BV136" s="115" t="str">
        <f t="shared" si="199"/>
        <v/>
      </c>
      <c r="BW136" s="121" t="str">
        <f t="shared" si="199"/>
        <v/>
      </c>
      <c r="BX136" s="122" t="str">
        <f t="shared" si="199"/>
        <v/>
      </c>
      <c r="BZ136" s="66"/>
      <c r="CA136" s="414">
        <f t="shared" si="135"/>
        <v>51</v>
      </c>
      <c r="CB136" s="153">
        <f t="shared" si="142"/>
        <v>60</v>
      </c>
      <c r="CM136" s="115"/>
      <c r="CN136" s="115"/>
      <c r="CO136" s="115"/>
      <c r="CP136" s="115"/>
      <c r="CQ136" s="115"/>
      <c r="CR136" s="115"/>
      <c r="CS136" s="115"/>
      <c r="CY136" s="120">
        <f>SUM(CY95:CY98)</f>
        <v>0.2</v>
      </c>
      <c r="CZ136" s="121">
        <f>SUM(CZ95:CZ98)</f>
        <v>19</v>
      </c>
      <c r="DA136" s="115">
        <f>SUM(DA95:DA98)</f>
        <v>0.60000000000000009</v>
      </c>
      <c r="DB136" s="121">
        <f>SUM(DB95:DB98)</f>
        <v>0</v>
      </c>
      <c r="DC136" s="122">
        <f>SUM(DC95:DC98)</f>
        <v>0</v>
      </c>
    </row>
    <row r="137" spans="1:107" ht="15" x14ac:dyDescent="0.25">
      <c r="A137" s="190" t="s">
        <v>63</v>
      </c>
      <c r="B137" s="642">
        <v>1</v>
      </c>
      <c r="C137" s="184">
        <v>0</v>
      </c>
      <c r="D137" s="184">
        <v>1</v>
      </c>
      <c r="E137" s="184">
        <v>0</v>
      </c>
      <c r="F137" s="184">
        <v>0</v>
      </c>
      <c r="G137" s="184">
        <v>0</v>
      </c>
      <c r="H137" s="184">
        <v>0</v>
      </c>
      <c r="I137" s="184">
        <v>0</v>
      </c>
      <c r="J137" s="184">
        <v>0</v>
      </c>
      <c r="K137" s="184">
        <v>0</v>
      </c>
      <c r="L137" s="184">
        <v>0</v>
      </c>
      <c r="M137" s="654" t="s">
        <v>24</v>
      </c>
      <c r="N137" s="669" t="s">
        <v>63</v>
      </c>
      <c r="O137" s="642">
        <v>0</v>
      </c>
      <c r="P137" s="184">
        <v>0</v>
      </c>
      <c r="Q137" s="184">
        <v>0</v>
      </c>
      <c r="R137" s="184">
        <v>0</v>
      </c>
      <c r="S137" s="184">
        <v>0</v>
      </c>
      <c r="T137" s="184">
        <v>0</v>
      </c>
      <c r="U137" s="184">
        <v>0</v>
      </c>
      <c r="V137" s="184">
        <v>1</v>
      </c>
      <c r="W137" s="184">
        <v>0</v>
      </c>
      <c r="X137" s="184">
        <v>0</v>
      </c>
      <c r="Y137" s="184">
        <v>0</v>
      </c>
      <c r="Z137" s="184">
        <v>0</v>
      </c>
      <c r="AA137" s="184">
        <v>0</v>
      </c>
      <c r="AB137" s="184">
        <v>0</v>
      </c>
      <c r="AC137" s="185">
        <v>40.5</v>
      </c>
      <c r="AD137" s="185" t="s">
        <v>24</v>
      </c>
      <c r="AE137" s="184">
        <v>0</v>
      </c>
      <c r="AF137" s="185">
        <v>0</v>
      </c>
      <c r="AG137" s="184">
        <v>0</v>
      </c>
      <c r="AH137" s="185">
        <v>0</v>
      </c>
      <c r="AI137" s="184">
        <v>0</v>
      </c>
      <c r="AJ137" s="643">
        <v>0</v>
      </c>
      <c r="AP137" s="116">
        <f>SUM(AP99:AP102)</f>
        <v>4</v>
      </c>
      <c r="AR137" s="56">
        <f>AR99</f>
        <v>0.91666666666666552</v>
      </c>
      <c r="AS137" s="117">
        <f>SUM(AS99:AS102)</f>
        <v>0</v>
      </c>
      <c r="AT137" s="116">
        <f>SUM(AT99:AT102)</f>
        <v>9.8571428571428559</v>
      </c>
      <c r="AU137" s="118">
        <f>SUM(AU99:AU102)</f>
        <v>0.5714285714285714</v>
      </c>
      <c r="AV137" s="116">
        <f>SUM(AV99:AV102)</f>
        <v>0</v>
      </c>
      <c r="AW137" s="119">
        <f>SUM(AW99:AW102)</f>
        <v>0</v>
      </c>
      <c r="AY137" s="56">
        <f>AY99</f>
        <v>0.91666666666666552</v>
      </c>
      <c r="AZ137" s="117">
        <f t="shared" ref="AZ137:BF137" si="200">IF(SUM(AZ99:AZ102)&gt;0, SUM(AZ99:AZ102), NA())</f>
        <v>11</v>
      </c>
      <c r="BA137" s="116">
        <f t="shared" si="200"/>
        <v>9</v>
      </c>
      <c r="BB137" s="118">
        <f t="shared" si="200"/>
        <v>13</v>
      </c>
      <c r="BC137" s="116">
        <f t="shared" si="200"/>
        <v>9</v>
      </c>
      <c r="BD137" s="118">
        <f t="shared" si="200"/>
        <v>12</v>
      </c>
      <c r="BE137" s="116">
        <f t="shared" si="200"/>
        <v>5</v>
      </c>
      <c r="BF137" s="119">
        <f t="shared" si="200"/>
        <v>14</v>
      </c>
      <c r="BH137" s="56">
        <f>BH99</f>
        <v>0.91666666666666552</v>
      </c>
      <c r="BI137" s="120">
        <f t="shared" ref="BI137:BO137" si="201">IF(SUM(CM99:CM102)&lt;=0, NA(), SUM(CM99:CM102)/AZ137)</f>
        <v>42.918181818181822</v>
      </c>
      <c r="BJ137" s="121">
        <f t="shared" si="201"/>
        <v>42.577777777777776</v>
      </c>
      <c r="BK137" s="115">
        <f t="shared" si="201"/>
        <v>46.723076923076924</v>
      </c>
      <c r="BL137" s="121">
        <f t="shared" si="201"/>
        <v>42.599999999999994</v>
      </c>
      <c r="BM137" s="115">
        <f t="shared" si="201"/>
        <v>38.341666666666661</v>
      </c>
      <c r="BN137" s="121">
        <f t="shared" si="201"/>
        <v>46.48</v>
      </c>
      <c r="BO137" s="122">
        <f t="shared" si="201"/>
        <v>47.314285714285724</v>
      </c>
      <c r="BQ137" s="56">
        <f>BQ99</f>
        <v>0.91666666666666552</v>
      </c>
      <c r="BR137" s="120" t="str">
        <f t="shared" ref="BR137:BX137" si="202">IFERROR(AVERAGE(BR99:BR102), "")</f>
        <v/>
      </c>
      <c r="BS137" s="121" t="str">
        <f t="shared" si="202"/>
        <v/>
      </c>
      <c r="BT137" s="115" t="str">
        <f t="shared" si="202"/>
        <v/>
      </c>
      <c r="BU137" s="121" t="str">
        <f t="shared" si="202"/>
        <v/>
      </c>
      <c r="BV137" s="115" t="str">
        <f t="shared" si="202"/>
        <v/>
      </c>
      <c r="BW137" s="121" t="str">
        <f t="shared" si="202"/>
        <v/>
      </c>
      <c r="BX137" s="122" t="str">
        <f t="shared" si="202"/>
        <v/>
      </c>
      <c r="BZ137" s="66"/>
      <c r="CA137" s="414" t="e">
        <f t="shared" si="135"/>
        <v>#N/A</v>
      </c>
      <c r="CB137" s="153">
        <f t="shared" si="142"/>
        <v>60</v>
      </c>
      <c r="CM137" s="115"/>
      <c r="CN137" s="115"/>
      <c r="CO137" s="115"/>
      <c r="CP137" s="115"/>
      <c r="CQ137" s="115"/>
      <c r="CR137" s="115"/>
      <c r="CS137" s="115"/>
      <c r="CY137" s="120">
        <f>SUM(CY99:CY102)</f>
        <v>0</v>
      </c>
      <c r="CZ137" s="121">
        <f>SUM(CZ99:CZ102)</f>
        <v>10.4</v>
      </c>
      <c r="DA137" s="115">
        <f>SUM(DA99:DA102)</f>
        <v>0.8</v>
      </c>
      <c r="DB137" s="121">
        <f>SUM(DB99:DB102)</f>
        <v>0</v>
      </c>
      <c r="DC137" s="122">
        <f>SUM(DC99:DC102)</f>
        <v>0</v>
      </c>
    </row>
    <row r="138" spans="1:107" ht="15.75" thickBot="1" x14ac:dyDescent="0.3">
      <c r="A138" s="190" t="s">
        <v>44</v>
      </c>
      <c r="B138" s="642">
        <v>0</v>
      </c>
      <c r="C138" s="184">
        <v>0</v>
      </c>
      <c r="D138" s="184">
        <v>0</v>
      </c>
      <c r="E138" s="184">
        <v>0</v>
      </c>
      <c r="F138" s="184">
        <v>0</v>
      </c>
      <c r="G138" s="184">
        <v>0</v>
      </c>
      <c r="H138" s="184">
        <v>0</v>
      </c>
      <c r="I138" s="184">
        <v>0</v>
      </c>
      <c r="J138" s="184">
        <v>0</v>
      </c>
      <c r="K138" s="184">
        <v>0</v>
      </c>
      <c r="L138" s="184">
        <v>0</v>
      </c>
      <c r="M138" s="654" t="s">
        <v>24</v>
      </c>
      <c r="N138" s="669" t="s">
        <v>44</v>
      </c>
      <c r="O138" s="642">
        <v>0</v>
      </c>
      <c r="P138" s="184">
        <v>0</v>
      </c>
      <c r="Q138" s="184">
        <v>0</v>
      </c>
      <c r="R138" s="184">
        <v>0</v>
      </c>
      <c r="S138" s="184">
        <v>0</v>
      </c>
      <c r="T138" s="184">
        <v>0</v>
      </c>
      <c r="U138" s="184">
        <v>0</v>
      </c>
      <c r="V138" s="184">
        <v>0</v>
      </c>
      <c r="W138" s="184">
        <v>0</v>
      </c>
      <c r="X138" s="184">
        <v>0</v>
      </c>
      <c r="Y138" s="184">
        <v>0</v>
      </c>
      <c r="Z138" s="184">
        <v>0</v>
      </c>
      <c r="AA138" s="184">
        <v>0</v>
      </c>
      <c r="AB138" s="184">
        <v>0</v>
      </c>
      <c r="AC138" s="185" t="s">
        <v>24</v>
      </c>
      <c r="AD138" s="185" t="s">
        <v>24</v>
      </c>
      <c r="AE138" s="184">
        <v>0</v>
      </c>
      <c r="AF138" s="185">
        <v>0</v>
      </c>
      <c r="AG138" s="184">
        <v>0</v>
      </c>
      <c r="AH138" s="185">
        <v>0</v>
      </c>
      <c r="AI138" s="184">
        <v>0</v>
      </c>
      <c r="AJ138" s="643">
        <v>0</v>
      </c>
      <c r="AP138" s="116">
        <f>SUM(AP103:AP106)</f>
        <v>0</v>
      </c>
      <c r="AR138" s="56">
        <f>AR103</f>
        <v>0.95833333333333204</v>
      </c>
      <c r="AS138" s="138">
        <f>SUM(AS103:AS106)</f>
        <v>0</v>
      </c>
      <c r="AT138" s="139">
        <f>SUM(AT103:AT106)</f>
        <v>6.2857142857142856</v>
      </c>
      <c r="AU138" s="140">
        <f>SUM(AU103:AU106)</f>
        <v>0</v>
      </c>
      <c r="AV138" s="139">
        <f>SUM(AV103:AV106)</f>
        <v>0</v>
      </c>
      <c r="AW138" s="141">
        <f>SUM(AW103:AW106)</f>
        <v>0</v>
      </c>
      <c r="AY138" s="56">
        <f>AY103</f>
        <v>0.95833333333333204</v>
      </c>
      <c r="AZ138" s="138">
        <f t="shared" ref="AZ138:BF138" si="203">IF(SUM(AZ103:AZ106)&gt;0, SUM(AZ103:AZ106), NA())</f>
        <v>4</v>
      </c>
      <c r="BA138" s="139">
        <f t="shared" si="203"/>
        <v>4</v>
      </c>
      <c r="BB138" s="140">
        <f t="shared" si="203"/>
        <v>3</v>
      </c>
      <c r="BC138" s="139">
        <f t="shared" si="203"/>
        <v>13</v>
      </c>
      <c r="BD138" s="140">
        <f t="shared" si="203"/>
        <v>10</v>
      </c>
      <c r="BE138" s="139">
        <f t="shared" si="203"/>
        <v>2</v>
      </c>
      <c r="BF138" s="141">
        <f t="shared" si="203"/>
        <v>8</v>
      </c>
      <c r="BH138" s="56">
        <f>BH103</f>
        <v>0.95833333333333204</v>
      </c>
      <c r="BI138" s="142">
        <f t="shared" ref="BI138:BO138" si="204">IF(SUM(CM103:CM106)&lt;=0, NA(), SUM(CM103:CM106)/AZ138)</f>
        <v>42.2</v>
      </c>
      <c r="BJ138" s="143">
        <f t="shared" si="204"/>
        <v>47.025000000000006</v>
      </c>
      <c r="BK138" s="144">
        <f t="shared" si="204"/>
        <v>54</v>
      </c>
      <c r="BL138" s="143">
        <f t="shared" si="204"/>
        <v>45.415384615384625</v>
      </c>
      <c r="BM138" s="144">
        <f t="shared" si="204"/>
        <v>41.059999999999995</v>
      </c>
      <c r="BN138" s="143">
        <f t="shared" si="204"/>
        <v>47.150000000000006</v>
      </c>
      <c r="BO138" s="145">
        <f t="shared" si="204"/>
        <v>39.699999999999996</v>
      </c>
      <c r="BQ138" s="56">
        <f>BQ103</f>
        <v>0.95833333333333204</v>
      </c>
      <c r="BR138" s="142" t="str">
        <f t="shared" ref="BR138:BX138" si="205">IFERROR(AVERAGE(BR103:BR106), "")</f>
        <v/>
      </c>
      <c r="BS138" s="143" t="str">
        <f t="shared" si="205"/>
        <v/>
      </c>
      <c r="BT138" s="144" t="str">
        <f t="shared" si="205"/>
        <v/>
      </c>
      <c r="BU138" s="143" t="str">
        <f t="shared" si="205"/>
        <v/>
      </c>
      <c r="BV138" s="144" t="str">
        <f t="shared" si="205"/>
        <v/>
      </c>
      <c r="BW138" s="143" t="str">
        <f t="shared" si="205"/>
        <v/>
      </c>
      <c r="BX138" s="145" t="str">
        <f t="shared" si="205"/>
        <v/>
      </c>
      <c r="BZ138" s="66"/>
      <c r="CA138" s="414" t="e">
        <f t="shared" si="135"/>
        <v>#N/A</v>
      </c>
      <c r="CB138" s="153">
        <f t="shared" si="142"/>
        <v>60</v>
      </c>
      <c r="CM138" s="115"/>
      <c r="CN138" s="115"/>
      <c r="CO138" s="115"/>
      <c r="CP138" s="115"/>
      <c r="CQ138" s="115"/>
      <c r="CR138" s="115"/>
      <c r="CS138" s="115"/>
      <c r="CY138" s="142">
        <f>SUM(CY103:CY106)</f>
        <v>0</v>
      </c>
      <c r="CZ138" s="143">
        <f>SUM(CZ103:CZ106)</f>
        <v>6.4</v>
      </c>
      <c r="DA138" s="144">
        <f>SUM(DA103:DA106)</f>
        <v>0</v>
      </c>
      <c r="DB138" s="143">
        <f>SUM(DB103:DB106)</f>
        <v>0</v>
      </c>
      <c r="DC138" s="145">
        <f>SUM(DC103:DC106)</f>
        <v>0</v>
      </c>
    </row>
    <row r="139" spans="1:107" ht="15" x14ac:dyDescent="0.25">
      <c r="A139" s="190" t="s">
        <v>66</v>
      </c>
      <c r="B139" s="642">
        <v>0</v>
      </c>
      <c r="C139" s="184">
        <v>0</v>
      </c>
      <c r="D139" s="184">
        <v>0</v>
      </c>
      <c r="E139" s="184">
        <v>0</v>
      </c>
      <c r="F139" s="184">
        <v>0</v>
      </c>
      <c r="G139" s="184">
        <v>0</v>
      </c>
      <c r="H139" s="184">
        <v>0</v>
      </c>
      <c r="I139" s="184">
        <v>0</v>
      </c>
      <c r="J139" s="184">
        <v>0</v>
      </c>
      <c r="K139" s="184">
        <v>0</v>
      </c>
      <c r="L139" s="184">
        <v>0</v>
      </c>
      <c r="M139" s="654" t="s">
        <v>24</v>
      </c>
      <c r="N139" s="669" t="s">
        <v>66</v>
      </c>
      <c r="O139" s="642">
        <v>0</v>
      </c>
      <c r="P139" s="184">
        <v>0</v>
      </c>
      <c r="Q139" s="184">
        <v>0</v>
      </c>
      <c r="R139" s="184">
        <v>0</v>
      </c>
      <c r="S139" s="184">
        <v>0</v>
      </c>
      <c r="T139" s="184">
        <v>0</v>
      </c>
      <c r="U139" s="184">
        <v>0</v>
      </c>
      <c r="V139" s="184">
        <v>0</v>
      </c>
      <c r="W139" s="184">
        <v>0</v>
      </c>
      <c r="X139" s="184">
        <v>0</v>
      </c>
      <c r="Y139" s="184">
        <v>0</v>
      </c>
      <c r="Z139" s="184">
        <v>0</v>
      </c>
      <c r="AA139" s="184">
        <v>0</v>
      </c>
      <c r="AB139" s="184">
        <v>0</v>
      </c>
      <c r="AC139" s="185" t="s">
        <v>24</v>
      </c>
      <c r="AD139" s="185" t="s">
        <v>24</v>
      </c>
      <c r="AE139" s="184">
        <v>0</v>
      </c>
      <c r="AF139" s="185">
        <v>0</v>
      </c>
      <c r="AG139" s="184">
        <v>0</v>
      </c>
      <c r="AH139" s="185">
        <v>0</v>
      </c>
      <c r="AI139" s="184">
        <v>0</v>
      </c>
      <c r="AJ139" s="643">
        <v>0</v>
      </c>
      <c r="AP139" s="146">
        <f>SUM(AP115:AP138)</f>
        <v>403</v>
      </c>
      <c r="BF139" s="147"/>
    </row>
    <row r="140" spans="1:107" x14ac:dyDescent="0.2">
      <c r="A140" s="190" t="s">
        <v>68</v>
      </c>
      <c r="B140" s="642">
        <v>0</v>
      </c>
      <c r="C140" s="184">
        <v>0</v>
      </c>
      <c r="D140" s="184">
        <v>0</v>
      </c>
      <c r="E140" s="184">
        <v>0</v>
      </c>
      <c r="F140" s="184">
        <v>0</v>
      </c>
      <c r="G140" s="184">
        <v>0</v>
      </c>
      <c r="H140" s="184">
        <v>0</v>
      </c>
      <c r="I140" s="184">
        <v>0</v>
      </c>
      <c r="J140" s="184">
        <v>0</v>
      </c>
      <c r="K140" s="184">
        <v>0</v>
      </c>
      <c r="L140" s="184">
        <v>0</v>
      </c>
      <c r="M140" s="654" t="s">
        <v>24</v>
      </c>
      <c r="N140" s="669" t="s">
        <v>68</v>
      </c>
      <c r="O140" s="642">
        <v>0</v>
      </c>
      <c r="P140" s="184">
        <v>0</v>
      </c>
      <c r="Q140" s="184">
        <v>0</v>
      </c>
      <c r="R140" s="184">
        <v>0</v>
      </c>
      <c r="S140" s="184">
        <v>0</v>
      </c>
      <c r="T140" s="184">
        <v>0</v>
      </c>
      <c r="U140" s="184">
        <v>0</v>
      </c>
      <c r="V140" s="184">
        <v>0</v>
      </c>
      <c r="W140" s="184">
        <v>0</v>
      </c>
      <c r="X140" s="184">
        <v>0</v>
      </c>
      <c r="Y140" s="184">
        <v>0</v>
      </c>
      <c r="Z140" s="184">
        <v>0</v>
      </c>
      <c r="AA140" s="184">
        <v>0</v>
      </c>
      <c r="AB140" s="184">
        <v>0</v>
      </c>
      <c r="AC140" s="185" t="s">
        <v>24</v>
      </c>
      <c r="AD140" s="185" t="s">
        <v>24</v>
      </c>
      <c r="AE140" s="184">
        <v>0</v>
      </c>
      <c r="AF140" s="185">
        <v>0</v>
      </c>
      <c r="AG140" s="184">
        <v>0</v>
      </c>
      <c r="AH140" s="185">
        <v>0</v>
      </c>
      <c r="AI140" s="184">
        <v>0</v>
      </c>
      <c r="AJ140" s="643">
        <v>0</v>
      </c>
      <c r="AZ140" s="148" t="str">
        <f>IF(AZ109&lt;&gt;"",SUM(AZ122:AZ133),"")</f>
        <v/>
      </c>
      <c r="BA140" s="148" t="str">
        <f t="shared" ref="BA140:BF140" si="206">IF(BA109&lt;&gt;"",SUM(BA122:BA133),"")</f>
        <v/>
      </c>
      <c r="BB140" s="148" t="str">
        <f t="shared" si="206"/>
        <v/>
      </c>
      <c r="BC140" s="148" t="str">
        <f t="shared" si="206"/>
        <v/>
      </c>
      <c r="BD140" s="148" t="str">
        <f t="shared" si="206"/>
        <v/>
      </c>
      <c r="BE140" s="148" t="str">
        <f t="shared" si="206"/>
        <v/>
      </c>
      <c r="BF140" s="148" t="str">
        <f t="shared" si="206"/>
        <v/>
      </c>
    </row>
    <row r="141" spans="1:107" ht="15.75" x14ac:dyDescent="0.2">
      <c r="A141" s="190" t="s">
        <v>70</v>
      </c>
      <c r="B141" s="642">
        <v>1</v>
      </c>
      <c r="C141" s="184">
        <v>0</v>
      </c>
      <c r="D141" s="184">
        <v>1</v>
      </c>
      <c r="E141" s="184">
        <v>0</v>
      </c>
      <c r="F141" s="184">
        <v>0</v>
      </c>
      <c r="G141" s="184">
        <v>0</v>
      </c>
      <c r="H141" s="184">
        <v>0</v>
      </c>
      <c r="I141" s="184">
        <v>0</v>
      </c>
      <c r="J141" s="184">
        <v>0</v>
      </c>
      <c r="K141" s="184">
        <v>0</v>
      </c>
      <c r="L141" s="184">
        <v>0</v>
      </c>
      <c r="M141" s="654" t="s">
        <v>24</v>
      </c>
      <c r="N141" s="669" t="s">
        <v>70</v>
      </c>
      <c r="O141" s="642">
        <v>0</v>
      </c>
      <c r="P141" s="184">
        <v>0</v>
      </c>
      <c r="Q141" s="184">
        <v>0</v>
      </c>
      <c r="R141" s="184">
        <v>0</v>
      </c>
      <c r="S141" s="184">
        <v>0</v>
      </c>
      <c r="T141" s="184">
        <v>0</v>
      </c>
      <c r="U141" s="184">
        <v>0</v>
      </c>
      <c r="V141" s="184">
        <v>0</v>
      </c>
      <c r="W141" s="184">
        <v>0</v>
      </c>
      <c r="X141" s="184">
        <v>1</v>
      </c>
      <c r="Y141" s="184">
        <v>0</v>
      </c>
      <c r="Z141" s="184">
        <v>0</v>
      </c>
      <c r="AA141" s="184">
        <v>0</v>
      </c>
      <c r="AB141" s="184">
        <v>0</v>
      </c>
      <c r="AC141" s="185">
        <v>53.6</v>
      </c>
      <c r="AD141" s="185" t="s">
        <v>24</v>
      </c>
      <c r="AE141" s="184">
        <v>0</v>
      </c>
      <c r="AF141" s="185">
        <v>0</v>
      </c>
      <c r="AG141" s="184">
        <v>0</v>
      </c>
      <c r="AH141" s="185">
        <v>0</v>
      </c>
      <c r="AI141" s="184">
        <v>0</v>
      </c>
      <c r="AJ141" s="643">
        <v>0</v>
      </c>
      <c r="AS141" s="777" t="str">
        <f>AS10</f>
        <v>AVG CLASS</v>
      </c>
      <c r="AT141" s="777"/>
      <c r="AU141" s="777"/>
      <c r="AV141" s="777"/>
      <c r="AW141" s="777"/>
      <c r="AZ141" s="777" t="str">
        <f>AZ10</f>
        <v>VOLUME</v>
      </c>
      <c r="BA141" s="777"/>
      <c r="BB141" s="777"/>
      <c r="BC141" s="777"/>
      <c r="BD141" s="777"/>
      <c r="BE141" s="777"/>
      <c r="BF141" s="777"/>
      <c r="BI141" s="777" t="str">
        <f>BI10</f>
        <v>SPEED</v>
      </c>
      <c r="BJ141" s="777"/>
      <c r="BK141" s="777"/>
      <c r="BL141" s="777"/>
      <c r="BM141" s="777"/>
      <c r="BN141" s="777"/>
      <c r="BO141" s="777"/>
      <c r="BR141" s="777" t="str">
        <f>BR10</f>
        <v>85%ile</v>
      </c>
      <c r="BS141" s="777"/>
      <c r="BT141" s="777"/>
      <c r="BU141" s="777"/>
      <c r="BV141" s="777"/>
      <c r="BW141" s="777"/>
      <c r="BX141" s="777"/>
      <c r="CM141" s="777"/>
      <c r="CN141" s="777"/>
      <c r="CO141" s="777"/>
      <c r="CP141" s="777"/>
      <c r="CQ141" s="777"/>
      <c r="CR141" s="777"/>
      <c r="CS141" s="777"/>
    </row>
    <row r="142" spans="1:107" x14ac:dyDescent="0.2">
      <c r="A142" s="190" t="s">
        <v>46</v>
      </c>
      <c r="B142" s="642">
        <v>0</v>
      </c>
      <c r="C142" s="184">
        <v>0</v>
      </c>
      <c r="D142" s="184">
        <v>0</v>
      </c>
      <c r="E142" s="184">
        <v>0</v>
      </c>
      <c r="F142" s="184">
        <v>0</v>
      </c>
      <c r="G142" s="184">
        <v>0</v>
      </c>
      <c r="H142" s="184">
        <v>0</v>
      </c>
      <c r="I142" s="184">
        <v>0</v>
      </c>
      <c r="J142" s="184">
        <v>0</v>
      </c>
      <c r="K142" s="184">
        <v>0</v>
      </c>
      <c r="L142" s="184">
        <v>0</v>
      </c>
      <c r="M142" s="654" t="s">
        <v>24</v>
      </c>
      <c r="N142" s="669" t="s">
        <v>46</v>
      </c>
      <c r="O142" s="642">
        <v>0</v>
      </c>
      <c r="P142" s="184">
        <v>0</v>
      </c>
      <c r="Q142" s="184">
        <v>0</v>
      </c>
      <c r="R142" s="184">
        <v>0</v>
      </c>
      <c r="S142" s="184">
        <v>0</v>
      </c>
      <c r="T142" s="184">
        <v>0</v>
      </c>
      <c r="U142" s="184">
        <v>0</v>
      </c>
      <c r="V142" s="184">
        <v>0</v>
      </c>
      <c r="W142" s="184">
        <v>0</v>
      </c>
      <c r="X142" s="184">
        <v>0</v>
      </c>
      <c r="Y142" s="184">
        <v>0</v>
      </c>
      <c r="Z142" s="184">
        <v>0</v>
      </c>
      <c r="AA142" s="184">
        <v>0</v>
      </c>
      <c r="AB142" s="184">
        <v>0</v>
      </c>
      <c r="AC142" s="185" t="s">
        <v>24</v>
      </c>
      <c r="AD142" s="185" t="s">
        <v>24</v>
      </c>
      <c r="AE142" s="184">
        <v>0</v>
      </c>
      <c r="AF142" s="185">
        <v>0</v>
      </c>
      <c r="AG142" s="184">
        <v>0</v>
      </c>
      <c r="AH142" s="185">
        <v>0</v>
      </c>
      <c r="AI142" s="184">
        <v>0</v>
      </c>
      <c r="AJ142" s="643">
        <v>0</v>
      </c>
      <c r="AZ142" s="30"/>
      <c r="BA142" s="30"/>
      <c r="BB142" s="30"/>
      <c r="BC142" s="30"/>
      <c r="BD142" s="30"/>
      <c r="BE142" s="30"/>
      <c r="BF142" s="30"/>
      <c r="BG142" s="30"/>
    </row>
    <row r="143" spans="1:107" x14ac:dyDescent="0.2">
      <c r="A143" s="190" t="s">
        <v>73</v>
      </c>
      <c r="B143" s="642">
        <v>1</v>
      </c>
      <c r="C143" s="184">
        <v>0</v>
      </c>
      <c r="D143" s="184">
        <v>1</v>
      </c>
      <c r="E143" s="184">
        <v>0</v>
      </c>
      <c r="F143" s="184">
        <v>0</v>
      </c>
      <c r="G143" s="184">
        <v>0</v>
      </c>
      <c r="H143" s="184">
        <v>0</v>
      </c>
      <c r="I143" s="184">
        <v>0</v>
      </c>
      <c r="J143" s="184">
        <v>0</v>
      </c>
      <c r="K143" s="184">
        <v>0</v>
      </c>
      <c r="L143" s="184">
        <v>0</v>
      </c>
      <c r="M143" s="654" t="s">
        <v>24</v>
      </c>
      <c r="N143" s="669" t="s">
        <v>73</v>
      </c>
      <c r="O143" s="642">
        <v>0</v>
      </c>
      <c r="P143" s="184">
        <v>0</v>
      </c>
      <c r="Q143" s="184">
        <v>0</v>
      </c>
      <c r="R143" s="184">
        <v>0</v>
      </c>
      <c r="S143" s="184">
        <v>0</v>
      </c>
      <c r="T143" s="184">
        <v>0</v>
      </c>
      <c r="U143" s="184">
        <v>1</v>
      </c>
      <c r="V143" s="184">
        <v>0</v>
      </c>
      <c r="W143" s="184">
        <v>0</v>
      </c>
      <c r="X143" s="184">
        <v>0</v>
      </c>
      <c r="Y143" s="184">
        <v>0</v>
      </c>
      <c r="Z143" s="184">
        <v>0</v>
      </c>
      <c r="AA143" s="184">
        <v>0</v>
      </c>
      <c r="AB143" s="184">
        <v>0</v>
      </c>
      <c r="AC143" s="185">
        <v>36.200000000000003</v>
      </c>
      <c r="AD143" s="185" t="s">
        <v>24</v>
      </c>
      <c r="AE143" s="184">
        <v>0</v>
      </c>
      <c r="AF143" s="185">
        <v>0</v>
      </c>
      <c r="AG143" s="184">
        <v>0</v>
      </c>
      <c r="AH143" s="185">
        <v>0</v>
      </c>
      <c r="AI143" s="184">
        <v>0</v>
      </c>
      <c r="AJ143" s="643">
        <v>0</v>
      </c>
    </row>
    <row r="144" spans="1:107" x14ac:dyDescent="0.2">
      <c r="A144" s="190" t="s">
        <v>75</v>
      </c>
      <c r="B144" s="642">
        <v>2</v>
      </c>
      <c r="C144" s="184">
        <v>0</v>
      </c>
      <c r="D144" s="184">
        <v>1</v>
      </c>
      <c r="E144" s="184">
        <v>0</v>
      </c>
      <c r="F144" s="184">
        <v>1</v>
      </c>
      <c r="G144" s="184">
        <v>0</v>
      </c>
      <c r="H144" s="184">
        <v>0</v>
      </c>
      <c r="I144" s="184">
        <v>0</v>
      </c>
      <c r="J144" s="184">
        <v>0</v>
      </c>
      <c r="K144" s="184">
        <v>0</v>
      </c>
      <c r="L144" s="184">
        <v>0</v>
      </c>
      <c r="M144" s="654" t="s">
        <v>24</v>
      </c>
      <c r="N144" s="669" t="s">
        <v>75</v>
      </c>
      <c r="O144" s="642">
        <v>0</v>
      </c>
      <c r="P144" s="184">
        <v>0</v>
      </c>
      <c r="Q144" s="184">
        <v>0</v>
      </c>
      <c r="R144" s="184">
        <v>0</v>
      </c>
      <c r="S144" s="184">
        <v>0</v>
      </c>
      <c r="T144" s="184">
        <v>0</v>
      </c>
      <c r="U144" s="184">
        <v>1</v>
      </c>
      <c r="V144" s="184">
        <v>1</v>
      </c>
      <c r="W144" s="184">
        <v>0</v>
      </c>
      <c r="X144" s="184">
        <v>0</v>
      </c>
      <c r="Y144" s="184">
        <v>0</v>
      </c>
      <c r="Z144" s="184">
        <v>0</v>
      </c>
      <c r="AA144" s="184">
        <v>0</v>
      </c>
      <c r="AB144" s="184">
        <v>0</v>
      </c>
      <c r="AC144" s="185">
        <v>40.799999999999997</v>
      </c>
      <c r="AD144" s="185" t="s">
        <v>24</v>
      </c>
      <c r="AE144" s="184">
        <v>0</v>
      </c>
      <c r="AF144" s="185">
        <v>0</v>
      </c>
      <c r="AG144" s="184">
        <v>0</v>
      </c>
      <c r="AH144" s="185">
        <v>0</v>
      </c>
      <c r="AI144" s="184">
        <v>0</v>
      </c>
      <c r="AJ144" s="643">
        <v>0</v>
      </c>
    </row>
    <row r="145" spans="1:36" ht="13.5" thickBot="1" x14ac:dyDescent="0.25">
      <c r="A145" s="190" t="s">
        <v>77</v>
      </c>
      <c r="B145" s="644">
        <v>0</v>
      </c>
      <c r="C145" s="188">
        <v>0</v>
      </c>
      <c r="D145" s="188">
        <v>0</v>
      </c>
      <c r="E145" s="188">
        <v>0</v>
      </c>
      <c r="F145" s="188">
        <v>0</v>
      </c>
      <c r="G145" s="188">
        <v>0</v>
      </c>
      <c r="H145" s="188">
        <v>0</v>
      </c>
      <c r="I145" s="188">
        <v>0</v>
      </c>
      <c r="J145" s="188">
        <v>0</v>
      </c>
      <c r="K145" s="188">
        <v>0</v>
      </c>
      <c r="L145" s="188">
        <v>0</v>
      </c>
      <c r="M145" s="655" t="s">
        <v>24</v>
      </c>
      <c r="N145" s="669" t="s">
        <v>77</v>
      </c>
      <c r="O145" s="644">
        <v>0</v>
      </c>
      <c r="P145" s="188">
        <v>0</v>
      </c>
      <c r="Q145" s="188">
        <v>0</v>
      </c>
      <c r="R145" s="188">
        <v>0</v>
      </c>
      <c r="S145" s="188">
        <v>0</v>
      </c>
      <c r="T145" s="188">
        <v>0</v>
      </c>
      <c r="U145" s="188">
        <v>0</v>
      </c>
      <c r="V145" s="188">
        <v>0</v>
      </c>
      <c r="W145" s="188">
        <v>0</v>
      </c>
      <c r="X145" s="188">
        <v>0</v>
      </c>
      <c r="Y145" s="188">
        <v>0</v>
      </c>
      <c r="Z145" s="188">
        <v>0</v>
      </c>
      <c r="AA145" s="188">
        <v>0</v>
      </c>
      <c r="AB145" s="188">
        <v>0</v>
      </c>
      <c r="AC145" s="189" t="s">
        <v>24</v>
      </c>
      <c r="AD145" s="189" t="s">
        <v>24</v>
      </c>
      <c r="AE145" s="188">
        <v>0</v>
      </c>
      <c r="AF145" s="189">
        <v>0</v>
      </c>
      <c r="AG145" s="188">
        <v>0</v>
      </c>
      <c r="AH145" s="189">
        <v>0</v>
      </c>
      <c r="AI145" s="188">
        <v>0</v>
      </c>
      <c r="AJ145" s="645">
        <v>0</v>
      </c>
    </row>
    <row r="146" spans="1:36" x14ac:dyDescent="0.2">
      <c r="A146" s="190" t="s">
        <v>48</v>
      </c>
      <c r="B146" s="642">
        <v>1</v>
      </c>
      <c r="C146" s="184">
        <v>0</v>
      </c>
      <c r="D146" s="184">
        <v>1</v>
      </c>
      <c r="E146" s="184">
        <v>0</v>
      </c>
      <c r="F146" s="184">
        <v>0</v>
      </c>
      <c r="G146" s="184">
        <v>0</v>
      </c>
      <c r="H146" s="184">
        <v>0</v>
      </c>
      <c r="I146" s="184">
        <v>0</v>
      </c>
      <c r="J146" s="184">
        <v>0</v>
      </c>
      <c r="K146" s="184">
        <v>0</v>
      </c>
      <c r="L146" s="184">
        <v>0</v>
      </c>
      <c r="M146" s="654" t="s">
        <v>24</v>
      </c>
      <c r="N146" s="669" t="s">
        <v>48</v>
      </c>
      <c r="O146" s="642">
        <v>0</v>
      </c>
      <c r="P146" s="184">
        <v>0</v>
      </c>
      <c r="Q146" s="184">
        <v>0</v>
      </c>
      <c r="R146" s="184">
        <v>0</v>
      </c>
      <c r="S146" s="184">
        <v>0</v>
      </c>
      <c r="T146" s="184">
        <v>0</v>
      </c>
      <c r="U146" s="184">
        <v>0</v>
      </c>
      <c r="V146" s="184">
        <v>1</v>
      </c>
      <c r="W146" s="184">
        <v>0</v>
      </c>
      <c r="X146" s="184">
        <v>0</v>
      </c>
      <c r="Y146" s="184">
        <v>0</v>
      </c>
      <c r="Z146" s="184">
        <v>0</v>
      </c>
      <c r="AA146" s="184">
        <v>0</v>
      </c>
      <c r="AB146" s="184">
        <v>0</v>
      </c>
      <c r="AC146" s="185">
        <v>42.1</v>
      </c>
      <c r="AD146" s="185" t="s">
        <v>24</v>
      </c>
      <c r="AE146" s="184">
        <v>0</v>
      </c>
      <c r="AF146" s="185">
        <v>0</v>
      </c>
      <c r="AG146" s="184">
        <v>0</v>
      </c>
      <c r="AH146" s="185">
        <v>0</v>
      </c>
      <c r="AI146" s="184">
        <v>0</v>
      </c>
      <c r="AJ146" s="643">
        <v>0</v>
      </c>
    </row>
    <row r="147" spans="1:36" x14ac:dyDescent="0.2">
      <c r="A147" s="190" t="s">
        <v>79</v>
      </c>
      <c r="B147" s="642">
        <v>3</v>
      </c>
      <c r="C147" s="184">
        <v>0</v>
      </c>
      <c r="D147" s="184">
        <v>3</v>
      </c>
      <c r="E147" s="184">
        <v>0</v>
      </c>
      <c r="F147" s="184">
        <v>0</v>
      </c>
      <c r="G147" s="184">
        <v>0</v>
      </c>
      <c r="H147" s="184">
        <v>0</v>
      </c>
      <c r="I147" s="184">
        <v>0</v>
      </c>
      <c r="J147" s="184">
        <v>0</v>
      </c>
      <c r="K147" s="184">
        <v>0</v>
      </c>
      <c r="L147" s="184">
        <v>0</v>
      </c>
      <c r="M147" s="654" t="s">
        <v>24</v>
      </c>
      <c r="N147" s="669" t="s">
        <v>79</v>
      </c>
      <c r="O147" s="642">
        <v>0</v>
      </c>
      <c r="P147" s="184">
        <v>0</v>
      </c>
      <c r="Q147" s="184">
        <v>0</v>
      </c>
      <c r="R147" s="184">
        <v>0</v>
      </c>
      <c r="S147" s="184">
        <v>0</v>
      </c>
      <c r="T147" s="184">
        <v>0</v>
      </c>
      <c r="U147" s="184">
        <v>0</v>
      </c>
      <c r="V147" s="184">
        <v>1</v>
      </c>
      <c r="W147" s="184">
        <v>0</v>
      </c>
      <c r="X147" s="184">
        <v>2</v>
      </c>
      <c r="Y147" s="184">
        <v>0</v>
      </c>
      <c r="Z147" s="184">
        <v>0</v>
      </c>
      <c r="AA147" s="184">
        <v>0</v>
      </c>
      <c r="AB147" s="184">
        <v>0</v>
      </c>
      <c r="AC147" s="185">
        <v>48.2</v>
      </c>
      <c r="AD147" s="185" t="s">
        <v>24</v>
      </c>
      <c r="AE147" s="184">
        <v>0</v>
      </c>
      <c r="AF147" s="185">
        <v>0</v>
      </c>
      <c r="AG147" s="184">
        <v>0</v>
      </c>
      <c r="AH147" s="185">
        <v>0</v>
      </c>
      <c r="AI147" s="184">
        <v>0</v>
      </c>
      <c r="AJ147" s="643">
        <v>0</v>
      </c>
    </row>
    <row r="148" spans="1:36" x14ac:dyDescent="0.2">
      <c r="A148" s="190" t="s">
        <v>80</v>
      </c>
      <c r="B148" s="642">
        <v>3</v>
      </c>
      <c r="C148" s="184">
        <v>0</v>
      </c>
      <c r="D148" s="184">
        <v>2</v>
      </c>
      <c r="E148" s="184">
        <v>0</v>
      </c>
      <c r="F148" s="184">
        <v>1</v>
      </c>
      <c r="G148" s="184">
        <v>0</v>
      </c>
      <c r="H148" s="184">
        <v>0</v>
      </c>
      <c r="I148" s="184">
        <v>0</v>
      </c>
      <c r="J148" s="184">
        <v>0</v>
      </c>
      <c r="K148" s="184">
        <v>0</v>
      </c>
      <c r="L148" s="184">
        <v>0</v>
      </c>
      <c r="M148" s="654" t="s">
        <v>24</v>
      </c>
      <c r="N148" s="669" t="s">
        <v>80</v>
      </c>
      <c r="O148" s="642">
        <v>0</v>
      </c>
      <c r="P148" s="184">
        <v>0</v>
      </c>
      <c r="Q148" s="184">
        <v>0</v>
      </c>
      <c r="R148" s="184">
        <v>0</v>
      </c>
      <c r="S148" s="184">
        <v>0</v>
      </c>
      <c r="T148" s="184">
        <v>0</v>
      </c>
      <c r="U148" s="184">
        <v>1</v>
      </c>
      <c r="V148" s="184">
        <v>0</v>
      </c>
      <c r="W148" s="184">
        <v>1</v>
      </c>
      <c r="X148" s="184">
        <v>1</v>
      </c>
      <c r="Y148" s="184">
        <v>0</v>
      </c>
      <c r="Z148" s="184">
        <v>0</v>
      </c>
      <c r="AA148" s="184">
        <v>0</v>
      </c>
      <c r="AB148" s="184">
        <v>0</v>
      </c>
      <c r="AC148" s="185">
        <v>45.6</v>
      </c>
      <c r="AD148" s="185" t="s">
        <v>24</v>
      </c>
      <c r="AE148" s="184">
        <v>0</v>
      </c>
      <c r="AF148" s="185">
        <v>0</v>
      </c>
      <c r="AG148" s="184">
        <v>0</v>
      </c>
      <c r="AH148" s="185">
        <v>0</v>
      </c>
      <c r="AI148" s="184">
        <v>0</v>
      </c>
      <c r="AJ148" s="643">
        <v>0</v>
      </c>
    </row>
    <row r="149" spans="1:36" ht="13.5" thickBot="1" x14ac:dyDescent="0.25">
      <c r="A149" s="190" t="s">
        <v>81</v>
      </c>
      <c r="B149" s="644">
        <v>3</v>
      </c>
      <c r="C149" s="188">
        <v>0</v>
      </c>
      <c r="D149" s="188">
        <v>3</v>
      </c>
      <c r="E149" s="188">
        <v>0</v>
      </c>
      <c r="F149" s="188">
        <v>0</v>
      </c>
      <c r="G149" s="188">
        <v>0</v>
      </c>
      <c r="H149" s="188">
        <v>0</v>
      </c>
      <c r="I149" s="188">
        <v>0</v>
      </c>
      <c r="J149" s="188">
        <v>0</v>
      </c>
      <c r="K149" s="188">
        <v>0</v>
      </c>
      <c r="L149" s="188">
        <v>0</v>
      </c>
      <c r="M149" s="655" t="s">
        <v>24</v>
      </c>
      <c r="N149" s="669" t="s">
        <v>81</v>
      </c>
      <c r="O149" s="644">
        <v>0</v>
      </c>
      <c r="P149" s="188">
        <v>0</v>
      </c>
      <c r="Q149" s="188">
        <v>0</v>
      </c>
      <c r="R149" s="188">
        <v>0</v>
      </c>
      <c r="S149" s="188">
        <v>0</v>
      </c>
      <c r="T149" s="188">
        <v>0</v>
      </c>
      <c r="U149" s="188">
        <v>0</v>
      </c>
      <c r="V149" s="188">
        <v>0</v>
      </c>
      <c r="W149" s="188">
        <v>2</v>
      </c>
      <c r="X149" s="188">
        <v>1</v>
      </c>
      <c r="Y149" s="188">
        <v>0</v>
      </c>
      <c r="Z149" s="188">
        <v>0</v>
      </c>
      <c r="AA149" s="188">
        <v>0</v>
      </c>
      <c r="AB149" s="188">
        <v>0</v>
      </c>
      <c r="AC149" s="189">
        <v>49.9</v>
      </c>
      <c r="AD149" s="189" t="s">
        <v>24</v>
      </c>
      <c r="AE149" s="188">
        <v>0</v>
      </c>
      <c r="AF149" s="189">
        <v>0</v>
      </c>
      <c r="AG149" s="188">
        <v>0</v>
      </c>
      <c r="AH149" s="189">
        <v>0</v>
      </c>
      <c r="AI149" s="188">
        <v>0</v>
      </c>
      <c r="AJ149" s="645">
        <v>0</v>
      </c>
    </row>
    <row r="150" spans="1:36" x14ac:dyDescent="0.2">
      <c r="A150" s="190" t="s">
        <v>50</v>
      </c>
      <c r="B150" s="646">
        <v>3</v>
      </c>
      <c r="C150" s="186">
        <v>0</v>
      </c>
      <c r="D150" s="186">
        <v>3</v>
      </c>
      <c r="E150" s="186">
        <v>0</v>
      </c>
      <c r="F150" s="186">
        <v>0</v>
      </c>
      <c r="G150" s="186">
        <v>0</v>
      </c>
      <c r="H150" s="186">
        <v>0</v>
      </c>
      <c r="I150" s="186">
        <v>0</v>
      </c>
      <c r="J150" s="186">
        <v>0</v>
      </c>
      <c r="K150" s="186">
        <v>0</v>
      </c>
      <c r="L150" s="186">
        <v>0</v>
      </c>
      <c r="M150" s="656" t="s">
        <v>24</v>
      </c>
      <c r="N150" s="669" t="s">
        <v>50</v>
      </c>
      <c r="O150" s="646">
        <v>0</v>
      </c>
      <c r="P150" s="186">
        <v>0</v>
      </c>
      <c r="Q150" s="186">
        <v>0</v>
      </c>
      <c r="R150" s="186">
        <v>0</v>
      </c>
      <c r="S150" s="186">
        <v>0</v>
      </c>
      <c r="T150" s="186">
        <v>0</v>
      </c>
      <c r="U150" s="186">
        <v>0</v>
      </c>
      <c r="V150" s="186">
        <v>2</v>
      </c>
      <c r="W150" s="186">
        <v>1</v>
      </c>
      <c r="X150" s="186">
        <v>0</v>
      </c>
      <c r="Y150" s="186">
        <v>0</v>
      </c>
      <c r="Z150" s="186">
        <v>0</v>
      </c>
      <c r="AA150" s="186">
        <v>0</v>
      </c>
      <c r="AB150" s="186">
        <v>0</v>
      </c>
      <c r="AC150" s="187">
        <v>44.7</v>
      </c>
      <c r="AD150" s="187" t="s">
        <v>24</v>
      </c>
      <c r="AE150" s="186">
        <v>0</v>
      </c>
      <c r="AF150" s="187">
        <v>0</v>
      </c>
      <c r="AG150" s="186">
        <v>0</v>
      </c>
      <c r="AH150" s="187">
        <v>0</v>
      </c>
      <c r="AI150" s="186">
        <v>0</v>
      </c>
      <c r="AJ150" s="647">
        <v>0</v>
      </c>
    </row>
    <row r="151" spans="1:36" x14ac:dyDescent="0.2">
      <c r="A151" s="190" t="s">
        <v>82</v>
      </c>
      <c r="B151" s="642">
        <v>7</v>
      </c>
      <c r="C151" s="184">
        <v>1</v>
      </c>
      <c r="D151" s="184">
        <v>6</v>
      </c>
      <c r="E151" s="184">
        <v>0</v>
      </c>
      <c r="F151" s="184">
        <v>0</v>
      </c>
      <c r="G151" s="184">
        <v>0</v>
      </c>
      <c r="H151" s="184">
        <v>0</v>
      </c>
      <c r="I151" s="184">
        <v>0</v>
      </c>
      <c r="J151" s="184">
        <v>0</v>
      </c>
      <c r="K151" s="184">
        <v>0</v>
      </c>
      <c r="L151" s="184">
        <v>0</v>
      </c>
      <c r="M151" s="654" t="s">
        <v>24</v>
      </c>
      <c r="N151" s="669" t="s">
        <v>82</v>
      </c>
      <c r="O151" s="642">
        <v>0</v>
      </c>
      <c r="P151" s="184">
        <v>0</v>
      </c>
      <c r="Q151" s="184">
        <v>0</v>
      </c>
      <c r="R151" s="184">
        <v>0</v>
      </c>
      <c r="S151" s="184">
        <v>0</v>
      </c>
      <c r="T151" s="184">
        <v>0</v>
      </c>
      <c r="U151" s="184">
        <v>0</v>
      </c>
      <c r="V151" s="184">
        <v>1</v>
      </c>
      <c r="W151" s="184">
        <v>2</v>
      </c>
      <c r="X151" s="184">
        <v>4</v>
      </c>
      <c r="Y151" s="184">
        <v>0</v>
      </c>
      <c r="Z151" s="184">
        <v>0</v>
      </c>
      <c r="AA151" s="184">
        <v>0</v>
      </c>
      <c r="AB151" s="184">
        <v>0</v>
      </c>
      <c r="AC151" s="185">
        <v>50.6</v>
      </c>
      <c r="AD151" s="185" t="s">
        <v>24</v>
      </c>
      <c r="AE151" s="184">
        <v>0</v>
      </c>
      <c r="AF151" s="185">
        <v>0</v>
      </c>
      <c r="AG151" s="184">
        <v>0</v>
      </c>
      <c r="AH151" s="185">
        <v>0</v>
      </c>
      <c r="AI151" s="184">
        <v>0</v>
      </c>
      <c r="AJ151" s="643">
        <v>0</v>
      </c>
    </row>
    <row r="152" spans="1:36" x14ac:dyDescent="0.2">
      <c r="A152" s="190" t="s">
        <v>83</v>
      </c>
      <c r="B152" s="642">
        <v>10</v>
      </c>
      <c r="C152" s="184">
        <v>1</v>
      </c>
      <c r="D152" s="184">
        <v>4</v>
      </c>
      <c r="E152" s="184">
        <v>1</v>
      </c>
      <c r="F152" s="184">
        <v>4</v>
      </c>
      <c r="G152" s="184">
        <v>0</v>
      </c>
      <c r="H152" s="184">
        <v>0</v>
      </c>
      <c r="I152" s="184">
        <v>0</v>
      </c>
      <c r="J152" s="184">
        <v>0</v>
      </c>
      <c r="K152" s="184">
        <v>0</v>
      </c>
      <c r="L152" s="184">
        <v>0</v>
      </c>
      <c r="M152" s="654" t="s">
        <v>24</v>
      </c>
      <c r="N152" s="669" t="s">
        <v>83</v>
      </c>
      <c r="O152" s="642">
        <v>0</v>
      </c>
      <c r="P152" s="184">
        <v>0</v>
      </c>
      <c r="Q152" s="184">
        <v>0</v>
      </c>
      <c r="R152" s="184">
        <v>1</v>
      </c>
      <c r="S152" s="184">
        <v>1</v>
      </c>
      <c r="T152" s="184">
        <v>3</v>
      </c>
      <c r="U152" s="184">
        <v>2</v>
      </c>
      <c r="V152" s="184">
        <v>2</v>
      </c>
      <c r="W152" s="184">
        <v>1</v>
      </c>
      <c r="X152" s="184">
        <v>0</v>
      </c>
      <c r="Y152" s="184">
        <v>0</v>
      </c>
      <c r="Z152" s="184">
        <v>0</v>
      </c>
      <c r="AA152" s="184">
        <v>0</v>
      </c>
      <c r="AB152" s="184">
        <v>0</v>
      </c>
      <c r="AC152" s="185">
        <v>35</v>
      </c>
      <c r="AD152" s="185" t="s">
        <v>24</v>
      </c>
      <c r="AE152" s="184">
        <v>0</v>
      </c>
      <c r="AF152" s="185">
        <v>0</v>
      </c>
      <c r="AG152" s="184">
        <v>0</v>
      </c>
      <c r="AH152" s="185">
        <v>0</v>
      </c>
      <c r="AI152" s="184">
        <v>0</v>
      </c>
      <c r="AJ152" s="643">
        <v>0</v>
      </c>
    </row>
    <row r="153" spans="1:36" x14ac:dyDescent="0.2">
      <c r="A153" s="190" t="s">
        <v>84</v>
      </c>
      <c r="B153" s="642">
        <v>14</v>
      </c>
      <c r="C153" s="184">
        <v>0</v>
      </c>
      <c r="D153" s="184">
        <v>12</v>
      </c>
      <c r="E153" s="184">
        <v>0</v>
      </c>
      <c r="F153" s="184">
        <v>2</v>
      </c>
      <c r="G153" s="184">
        <v>0</v>
      </c>
      <c r="H153" s="184">
        <v>0</v>
      </c>
      <c r="I153" s="184">
        <v>0</v>
      </c>
      <c r="J153" s="184">
        <v>0</v>
      </c>
      <c r="K153" s="184">
        <v>0</v>
      </c>
      <c r="L153" s="184">
        <v>0</v>
      </c>
      <c r="M153" s="654" t="s">
        <v>24</v>
      </c>
      <c r="N153" s="669" t="s">
        <v>84</v>
      </c>
      <c r="O153" s="642">
        <v>0</v>
      </c>
      <c r="P153" s="184">
        <v>0</v>
      </c>
      <c r="Q153" s="184">
        <v>0</v>
      </c>
      <c r="R153" s="184">
        <v>0</v>
      </c>
      <c r="S153" s="184">
        <v>0</v>
      </c>
      <c r="T153" s="184">
        <v>2</v>
      </c>
      <c r="U153" s="184">
        <v>3</v>
      </c>
      <c r="V153" s="184">
        <v>4</v>
      </c>
      <c r="W153" s="184">
        <v>4</v>
      </c>
      <c r="X153" s="184">
        <v>1</v>
      </c>
      <c r="Y153" s="184">
        <v>0</v>
      </c>
      <c r="Z153" s="184">
        <v>0</v>
      </c>
      <c r="AA153" s="184">
        <v>0</v>
      </c>
      <c r="AB153" s="184">
        <v>0</v>
      </c>
      <c r="AC153" s="185">
        <v>42.4</v>
      </c>
      <c r="AD153" s="185">
        <v>48.4</v>
      </c>
      <c r="AE153" s="184">
        <v>0</v>
      </c>
      <c r="AF153" s="185">
        <v>0</v>
      </c>
      <c r="AG153" s="184">
        <v>0</v>
      </c>
      <c r="AH153" s="185">
        <v>0</v>
      </c>
      <c r="AI153" s="184">
        <v>0</v>
      </c>
      <c r="AJ153" s="643">
        <v>0</v>
      </c>
    </row>
    <row r="154" spans="1:36" x14ac:dyDescent="0.2">
      <c r="A154" s="190" t="s">
        <v>51</v>
      </c>
      <c r="B154" s="642">
        <v>10</v>
      </c>
      <c r="C154" s="184">
        <v>0</v>
      </c>
      <c r="D154" s="184">
        <v>8</v>
      </c>
      <c r="E154" s="184">
        <v>2</v>
      </c>
      <c r="F154" s="184">
        <v>0</v>
      </c>
      <c r="G154" s="184">
        <v>0</v>
      </c>
      <c r="H154" s="184">
        <v>0</v>
      </c>
      <c r="I154" s="184">
        <v>0</v>
      </c>
      <c r="J154" s="184">
        <v>0</v>
      </c>
      <c r="K154" s="184">
        <v>0</v>
      </c>
      <c r="L154" s="184">
        <v>0</v>
      </c>
      <c r="M154" s="654" t="s">
        <v>24</v>
      </c>
      <c r="N154" s="669" t="s">
        <v>51</v>
      </c>
      <c r="O154" s="642">
        <v>0</v>
      </c>
      <c r="P154" s="184">
        <v>0</v>
      </c>
      <c r="Q154" s="184">
        <v>0</v>
      </c>
      <c r="R154" s="184">
        <v>0</v>
      </c>
      <c r="S154" s="184">
        <v>1</v>
      </c>
      <c r="T154" s="184">
        <v>2</v>
      </c>
      <c r="U154" s="184">
        <v>3</v>
      </c>
      <c r="V154" s="184">
        <v>2</v>
      </c>
      <c r="W154" s="184">
        <v>1</v>
      </c>
      <c r="X154" s="184">
        <v>1</v>
      </c>
      <c r="Y154" s="184">
        <v>0</v>
      </c>
      <c r="Z154" s="184">
        <v>0</v>
      </c>
      <c r="AA154" s="184">
        <v>0</v>
      </c>
      <c r="AB154" s="184">
        <v>0</v>
      </c>
      <c r="AC154" s="185">
        <v>38.700000000000003</v>
      </c>
      <c r="AD154" s="185" t="s">
        <v>24</v>
      </c>
      <c r="AE154" s="184">
        <v>0</v>
      </c>
      <c r="AF154" s="185">
        <v>0</v>
      </c>
      <c r="AG154" s="184">
        <v>0</v>
      </c>
      <c r="AH154" s="185">
        <v>0</v>
      </c>
      <c r="AI154" s="184">
        <v>0</v>
      </c>
      <c r="AJ154" s="643">
        <v>0</v>
      </c>
    </row>
    <row r="155" spans="1:36" x14ac:dyDescent="0.2">
      <c r="A155" s="190" t="s">
        <v>85</v>
      </c>
      <c r="B155" s="642">
        <v>6</v>
      </c>
      <c r="C155" s="184">
        <v>0</v>
      </c>
      <c r="D155" s="184">
        <v>5</v>
      </c>
      <c r="E155" s="184">
        <v>0</v>
      </c>
      <c r="F155" s="184">
        <v>1</v>
      </c>
      <c r="G155" s="184">
        <v>0</v>
      </c>
      <c r="H155" s="184">
        <v>0</v>
      </c>
      <c r="I155" s="184">
        <v>0</v>
      </c>
      <c r="J155" s="184">
        <v>0</v>
      </c>
      <c r="K155" s="184">
        <v>0</v>
      </c>
      <c r="L155" s="184">
        <v>0</v>
      </c>
      <c r="M155" s="654" t="s">
        <v>24</v>
      </c>
      <c r="N155" s="669" t="s">
        <v>85</v>
      </c>
      <c r="O155" s="642">
        <v>0</v>
      </c>
      <c r="P155" s="184">
        <v>0</v>
      </c>
      <c r="Q155" s="184">
        <v>0</v>
      </c>
      <c r="R155" s="184">
        <v>0</v>
      </c>
      <c r="S155" s="184">
        <v>0</v>
      </c>
      <c r="T155" s="184">
        <v>0</v>
      </c>
      <c r="U155" s="184">
        <v>0</v>
      </c>
      <c r="V155" s="184">
        <v>2</v>
      </c>
      <c r="W155" s="184">
        <v>3</v>
      </c>
      <c r="X155" s="184">
        <v>1</v>
      </c>
      <c r="Y155" s="184">
        <v>0</v>
      </c>
      <c r="Z155" s="184">
        <v>0</v>
      </c>
      <c r="AA155" s="184">
        <v>0</v>
      </c>
      <c r="AB155" s="184">
        <v>0</v>
      </c>
      <c r="AC155" s="185">
        <v>46.6</v>
      </c>
      <c r="AD155" s="185" t="s">
        <v>24</v>
      </c>
      <c r="AE155" s="184">
        <v>0</v>
      </c>
      <c r="AF155" s="185">
        <v>0</v>
      </c>
      <c r="AG155" s="184">
        <v>0</v>
      </c>
      <c r="AH155" s="185">
        <v>0</v>
      </c>
      <c r="AI155" s="184">
        <v>0</v>
      </c>
      <c r="AJ155" s="643">
        <v>0</v>
      </c>
    </row>
    <row r="156" spans="1:36" x14ac:dyDescent="0.2">
      <c r="A156" s="190" t="s">
        <v>86</v>
      </c>
      <c r="B156" s="642">
        <v>15</v>
      </c>
      <c r="C156" s="184">
        <v>0</v>
      </c>
      <c r="D156" s="184">
        <v>13</v>
      </c>
      <c r="E156" s="184">
        <v>0</v>
      </c>
      <c r="F156" s="184">
        <v>1</v>
      </c>
      <c r="G156" s="184">
        <v>1</v>
      </c>
      <c r="H156" s="184">
        <v>0</v>
      </c>
      <c r="I156" s="184">
        <v>0</v>
      </c>
      <c r="J156" s="184">
        <v>0</v>
      </c>
      <c r="K156" s="184">
        <v>0</v>
      </c>
      <c r="L156" s="184">
        <v>0</v>
      </c>
      <c r="M156" s="654" t="s">
        <v>24</v>
      </c>
      <c r="N156" s="669" t="s">
        <v>86</v>
      </c>
      <c r="O156" s="642">
        <v>0</v>
      </c>
      <c r="P156" s="184">
        <v>0</v>
      </c>
      <c r="Q156" s="184">
        <v>0</v>
      </c>
      <c r="R156" s="184">
        <v>0</v>
      </c>
      <c r="S156" s="184">
        <v>3</v>
      </c>
      <c r="T156" s="184">
        <v>1</v>
      </c>
      <c r="U156" s="184">
        <v>3</v>
      </c>
      <c r="V156" s="184">
        <v>5</v>
      </c>
      <c r="W156" s="184">
        <v>3</v>
      </c>
      <c r="X156" s="184">
        <v>0</v>
      </c>
      <c r="Y156" s="184">
        <v>0</v>
      </c>
      <c r="Z156" s="184">
        <v>0</v>
      </c>
      <c r="AA156" s="184">
        <v>0</v>
      </c>
      <c r="AB156" s="184">
        <v>0</v>
      </c>
      <c r="AC156" s="185">
        <v>38.799999999999997</v>
      </c>
      <c r="AD156" s="185">
        <v>46.4</v>
      </c>
      <c r="AE156" s="184">
        <v>0</v>
      </c>
      <c r="AF156" s="185">
        <v>0</v>
      </c>
      <c r="AG156" s="184">
        <v>0</v>
      </c>
      <c r="AH156" s="185">
        <v>0</v>
      </c>
      <c r="AI156" s="184">
        <v>0</v>
      </c>
      <c r="AJ156" s="643">
        <v>0</v>
      </c>
    </row>
    <row r="157" spans="1:36" x14ac:dyDescent="0.2">
      <c r="A157" s="190" t="s">
        <v>87</v>
      </c>
      <c r="B157" s="642">
        <v>8</v>
      </c>
      <c r="C157" s="184">
        <v>0</v>
      </c>
      <c r="D157" s="184">
        <v>7</v>
      </c>
      <c r="E157" s="184">
        <v>0</v>
      </c>
      <c r="F157" s="184">
        <v>1</v>
      </c>
      <c r="G157" s="184">
        <v>0</v>
      </c>
      <c r="H157" s="184">
        <v>0</v>
      </c>
      <c r="I157" s="184">
        <v>0</v>
      </c>
      <c r="J157" s="184">
        <v>0</v>
      </c>
      <c r="K157" s="184">
        <v>0</v>
      </c>
      <c r="L157" s="184">
        <v>0</v>
      </c>
      <c r="M157" s="654" t="s">
        <v>24</v>
      </c>
      <c r="N157" s="669" t="s">
        <v>87</v>
      </c>
      <c r="O157" s="642">
        <v>0</v>
      </c>
      <c r="P157" s="184">
        <v>0</v>
      </c>
      <c r="Q157" s="184">
        <v>0</v>
      </c>
      <c r="R157" s="184">
        <v>0</v>
      </c>
      <c r="S157" s="184">
        <v>1</v>
      </c>
      <c r="T157" s="184">
        <v>4</v>
      </c>
      <c r="U157" s="184">
        <v>2</v>
      </c>
      <c r="V157" s="184">
        <v>0</v>
      </c>
      <c r="W157" s="184">
        <v>0</v>
      </c>
      <c r="X157" s="184">
        <v>1</v>
      </c>
      <c r="Y157" s="184">
        <v>0</v>
      </c>
      <c r="Z157" s="184">
        <v>0</v>
      </c>
      <c r="AA157" s="184">
        <v>0</v>
      </c>
      <c r="AB157" s="184">
        <v>0</v>
      </c>
      <c r="AC157" s="185">
        <v>36</v>
      </c>
      <c r="AD157" s="185" t="s">
        <v>24</v>
      </c>
      <c r="AE157" s="184">
        <v>0</v>
      </c>
      <c r="AF157" s="185">
        <v>0</v>
      </c>
      <c r="AG157" s="184">
        <v>0</v>
      </c>
      <c r="AH157" s="185">
        <v>0</v>
      </c>
      <c r="AI157" s="184">
        <v>0</v>
      </c>
      <c r="AJ157" s="643">
        <v>0</v>
      </c>
    </row>
    <row r="158" spans="1:36" x14ac:dyDescent="0.2">
      <c r="A158" s="190" t="s">
        <v>53</v>
      </c>
      <c r="B158" s="646">
        <v>5</v>
      </c>
      <c r="C158" s="186">
        <v>0</v>
      </c>
      <c r="D158" s="186">
        <v>5</v>
      </c>
      <c r="E158" s="186">
        <v>0</v>
      </c>
      <c r="F158" s="186">
        <v>0</v>
      </c>
      <c r="G158" s="186">
        <v>0</v>
      </c>
      <c r="H158" s="186">
        <v>0</v>
      </c>
      <c r="I158" s="186">
        <v>0</v>
      </c>
      <c r="J158" s="186">
        <v>0</v>
      </c>
      <c r="K158" s="186">
        <v>0</v>
      </c>
      <c r="L158" s="186">
        <v>0</v>
      </c>
      <c r="M158" s="656" t="s">
        <v>24</v>
      </c>
      <c r="N158" s="669" t="s">
        <v>53</v>
      </c>
      <c r="O158" s="646">
        <v>0</v>
      </c>
      <c r="P158" s="186">
        <v>0</v>
      </c>
      <c r="Q158" s="186">
        <v>0</v>
      </c>
      <c r="R158" s="186">
        <v>2</v>
      </c>
      <c r="S158" s="186">
        <v>0</v>
      </c>
      <c r="T158" s="186">
        <v>0</v>
      </c>
      <c r="U158" s="186">
        <v>2</v>
      </c>
      <c r="V158" s="186">
        <v>1</v>
      </c>
      <c r="W158" s="186">
        <v>0</v>
      </c>
      <c r="X158" s="186">
        <v>0</v>
      </c>
      <c r="Y158" s="186">
        <v>0</v>
      </c>
      <c r="Z158" s="186">
        <v>0</v>
      </c>
      <c r="AA158" s="186">
        <v>0</v>
      </c>
      <c r="AB158" s="186">
        <v>0</v>
      </c>
      <c r="AC158" s="187">
        <v>32</v>
      </c>
      <c r="AD158" s="187" t="s">
        <v>24</v>
      </c>
      <c r="AE158" s="186">
        <v>0</v>
      </c>
      <c r="AF158" s="187">
        <v>0</v>
      </c>
      <c r="AG158" s="186">
        <v>0</v>
      </c>
      <c r="AH158" s="187">
        <v>0</v>
      </c>
      <c r="AI158" s="186">
        <v>0</v>
      </c>
      <c r="AJ158" s="647">
        <v>0</v>
      </c>
    </row>
    <row r="159" spans="1:36" x14ac:dyDescent="0.2">
      <c r="A159" s="190" t="s">
        <v>88</v>
      </c>
      <c r="B159" s="642">
        <v>10</v>
      </c>
      <c r="C159" s="184">
        <v>0</v>
      </c>
      <c r="D159" s="184">
        <v>9</v>
      </c>
      <c r="E159" s="184">
        <v>0</v>
      </c>
      <c r="F159" s="184">
        <v>1</v>
      </c>
      <c r="G159" s="184">
        <v>0</v>
      </c>
      <c r="H159" s="184">
        <v>0</v>
      </c>
      <c r="I159" s="184">
        <v>0</v>
      </c>
      <c r="J159" s="184">
        <v>0</v>
      </c>
      <c r="K159" s="184">
        <v>0</v>
      </c>
      <c r="L159" s="184">
        <v>0</v>
      </c>
      <c r="M159" s="654" t="s">
        <v>24</v>
      </c>
      <c r="N159" s="669" t="s">
        <v>88</v>
      </c>
      <c r="O159" s="642">
        <v>0</v>
      </c>
      <c r="P159" s="184">
        <v>0</v>
      </c>
      <c r="Q159" s="184">
        <v>0</v>
      </c>
      <c r="R159" s="184">
        <v>4</v>
      </c>
      <c r="S159" s="184">
        <v>0</v>
      </c>
      <c r="T159" s="184">
        <v>1</v>
      </c>
      <c r="U159" s="184">
        <v>4</v>
      </c>
      <c r="V159" s="184">
        <v>1</v>
      </c>
      <c r="W159" s="184">
        <v>0</v>
      </c>
      <c r="X159" s="184">
        <v>0</v>
      </c>
      <c r="Y159" s="184">
        <v>0</v>
      </c>
      <c r="Z159" s="184">
        <v>0</v>
      </c>
      <c r="AA159" s="184">
        <v>0</v>
      </c>
      <c r="AB159" s="184">
        <v>0</v>
      </c>
      <c r="AC159" s="185">
        <v>31.6</v>
      </c>
      <c r="AD159" s="185" t="s">
        <v>24</v>
      </c>
      <c r="AE159" s="184">
        <v>0</v>
      </c>
      <c r="AF159" s="185">
        <v>0</v>
      </c>
      <c r="AG159" s="184">
        <v>0</v>
      </c>
      <c r="AH159" s="185">
        <v>0</v>
      </c>
      <c r="AI159" s="184">
        <v>0</v>
      </c>
      <c r="AJ159" s="643">
        <v>0</v>
      </c>
    </row>
    <row r="160" spans="1:36" x14ac:dyDescent="0.2">
      <c r="A160" s="190" t="s">
        <v>89</v>
      </c>
      <c r="B160" s="642">
        <v>10</v>
      </c>
      <c r="C160" s="184">
        <v>0</v>
      </c>
      <c r="D160" s="184">
        <v>9</v>
      </c>
      <c r="E160" s="184">
        <v>0</v>
      </c>
      <c r="F160" s="184">
        <v>1</v>
      </c>
      <c r="G160" s="184">
        <v>0</v>
      </c>
      <c r="H160" s="184">
        <v>0</v>
      </c>
      <c r="I160" s="184">
        <v>0</v>
      </c>
      <c r="J160" s="184">
        <v>0</v>
      </c>
      <c r="K160" s="184">
        <v>0</v>
      </c>
      <c r="L160" s="184">
        <v>0</v>
      </c>
      <c r="M160" s="654" t="s">
        <v>24</v>
      </c>
      <c r="N160" s="669" t="s">
        <v>89</v>
      </c>
      <c r="O160" s="642">
        <v>1</v>
      </c>
      <c r="P160" s="184">
        <v>0</v>
      </c>
      <c r="Q160" s="184">
        <v>1</v>
      </c>
      <c r="R160" s="184">
        <v>2</v>
      </c>
      <c r="S160" s="184">
        <v>1</v>
      </c>
      <c r="T160" s="184">
        <v>1</v>
      </c>
      <c r="U160" s="184">
        <v>2</v>
      </c>
      <c r="V160" s="184">
        <v>2</v>
      </c>
      <c r="W160" s="184">
        <v>0</v>
      </c>
      <c r="X160" s="184">
        <v>0</v>
      </c>
      <c r="Y160" s="184">
        <v>0</v>
      </c>
      <c r="Z160" s="184">
        <v>0</v>
      </c>
      <c r="AA160" s="184">
        <v>0</v>
      </c>
      <c r="AB160" s="184">
        <v>0</v>
      </c>
      <c r="AC160" s="185">
        <v>29.4</v>
      </c>
      <c r="AD160" s="185" t="s">
        <v>24</v>
      </c>
      <c r="AE160" s="184">
        <v>0</v>
      </c>
      <c r="AF160" s="185">
        <v>0</v>
      </c>
      <c r="AG160" s="184">
        <v>0</v>
      </c>
      <c r="AH160" s="185">
        <v>0</v>
      </c>
      <c r="AI160" s="184">
        <v>0</v>
      </c>
      <c r="AJ160" s="643">
        <v>0</v>
      </c>
    </row>
    <row r="161" spans="1:36" x14ac:dyDescent="0.2">
      <c r="A161" s="190" t="s">
        <v>90</v>
      </c>
      <c r="B161" s="642">
        <v>9</v>
      </c>
      <c r="C161" s="184">
        <v>0</v>
      </c>
      <c r="D161" s="184">
        <v>8</v>
      </c>
      <c r="E161" s="184">
        <v>1</v>
      </c>
      <c r="F161" s="184">
        <v>0</v>
      </c>
      <c r="G161" s="184">
        <v>0</v>
      </c>
      <c r="H161" s="184">
        <v>0</v>
      </c>
      <c r="I161" s="184">
        <v>0</v>
      </c>
      <c r="J161" s="184">
        <v>0</v>
      </c>
      <c r="K161" s="184">
        <v>0</v>
      </c>
      <c r="L161" s="184">
        <v>0</v>
      </c>
      <c r="M161" s="654" t="s">
        <v>24</v>
      </c>
      <c r="N161" s="669" t="s">
        <v>90</v>
      </c>
      <c r="O161" s="642">
        <v>0</v>
      </c>
      <c r="P161" s="184">
        <v>0</v>
      </c>
      <c r="Q161" s="184">
        <v>0</v>
      </c>
      <c r="R161" s="184">
        <v>1</v>
      </c>
      <c r="S161" s="184">
        <v>2</v>
      </c>
      <c r="T161" s="184">
        <v>2</v>
      </c>
      <c r="U161" s="184">
        <v>2</v>
      </c>
      <c r="V161" s="184">
        <v>2</v>
      </c>
      <c r="W161" s="184">
        <v>0</v>
      </c>
      <c r="X161" s="184">
        <v>0</v>
      </c>
      <c r="Y161" s="184">
        <v>0</v>
      </c>
      <c r="Z161" s="184">
        <v>0</v>
      </c>
      <c r="AA161" s="184">
        <v>0</v>
      </c>
      <c r="AB161" s="184">
        <v>0</v>
      </c>
      <c r="AC161" s="185">
        <v>33.9</v>
      </c>
      <c r="AD161" s="185" t="s">
        <v>24</v>
      </c>
      <c r="AE161" s="184">
        <v>0</v>
      </c>
      <c r="AF161" s="185">
        <v>0</v>
      </c>
      <c r="AG161" s="184">
        <v>0</v>
      </c>
      <c r="AH161" s="185">
        <v>0</v>
      </c>
      <c r="AI161" s="184">
        <v>0</v>
      </c>
      <c r="AJ161" s="643">
        <v>0</v>
      </c>
    </row>
    <row r="162" spans="1:36" x14ac:dyDescent="0.2">
      <c r="A162" s="190" t="s">
        <v>55</v>
      </c>
      <c r="B162" s="642">
        <v>6</v>
      </c>
      <c r="C162" s="184">
        <v>0</v>
      </c>
      <c r="D162" s="184">
        <v>6</v>
      </c>
      <c r="E162" s="184">
        <v>0</v>
      </c>
      <c r="F162" s="184">
        <v>0</v>
      </c>
      <c r="G162" s="184">
        <v>0</v>
      </c>
      <c r="H162" s="184">
        <v>0</v>
      </c>
      <c r="I162" s="184">
        <v>0</v>
      </c>
      <c r="J162" s="184">
        <v>0</v>
      </c>
      <c r="K162" s="184">
        <v>0</v>
      </c>
      <c r="L162" s="184">
        <v>0</v>
      </c>
      <c r="M162" s="654" t="s">
        <v>24</v>
      </c>
      <c r="N162" s="669" t="s">
        <v>55</v>
      </c>
      <c r="O162" s="642">
        <v>0</v>
      </c>
      <c r="P162" s="184">
        <v>0</v>
      </c>
      <c r="Q162" s="184">
        <v>0</v>
      </c>
      <c r="R162" s="184">
        <v>0</v>
      </c>
      <c r="S162" s="184">
        <v>1</v>
      </c>
      <c r="T162" s="184">
        <v>2</v>
      </c>
      <c r="U162" s="184">
        <v>2</v>
      </c>
      <c r="V162" s="184">
        <v>1</v>
      </c>
      <c r="W162" s="184">
        <v>0</v>
      </c>
      <c r="X162" s="184">
        <v>0</v>
      </c>
      <c r="Y162" s="184">
        <v>0</v>
      </c>
      <c r="Z162" s="184">
        <v>0</v>
      </c>
      <c r="AA162" s="184">
        <v>0</v>
      </c>
      <c r="AB162" s="184">
        <v>0</v>
      </c>
      <c r="AC162" s="185">
        <v>34.200000000000003</v>
      </c>
      <c r="AD162" s="185" t="s">
        <v>24</v>
      </c>
      <c r="AE162" s="184">
        <v>0</v>
      </c>
      <c r="AF162" s="185">
        <v>0</v>
      </c>
      <c r="AG162" s="184">
        <v>0</v>
      </c>
      <c r="AH162" s="185">
        <v>0</v>
      </c>
      <c r="AI162" s="184">
        <v>0</v>
      </c>
      <c r="AJ162" s="643">
        <v>0</v>
      </c>
    </row>
    <row r="163" spans="1:36" x14ac:dyDescent="0.2">
      <c r="A163" s="190" t="s">
        <v>91</v>
      </c>
      <c r="B163" s="642">
        <v>8</v>
      </c>
      <c r="C163" s="184">
        <v>1</v>
      </c>
      <c r="D163" s="184">
        <v>5</v>
      </c>
      <c r="E163" s="184">
        <v>0</v>
      </c>
      <c r="F163" s="184">
        <v>1</v>
      </c>
      <c r="G163" s="184">
        <v>1</v>
      </c>
      <c r="H163" s="184">
        <v>0</v>
      </c>
      <c r="I163" s="184">
        <v>0</v>
      </c>
      <c r="J163" s="184">
        <v>0</v>
      </c>
      <c r="K163" s="184">
        <v>0</v>
      </c>
      <c r="L163" s="184">
        <v>0</v>
      </c>
      <c r="M163" s="654" t="s">
        <v>24</v>
      </c>
      <c r="N163" s="669" t="s">
        <v>91</v>
      </c>
      <c r="O163" s="642">
        <v>0</v>
      </c>
      <c r="P163" s="184">
        <v>1</v>
      </c>
      <c r="Q163" s="184">
        <v>0</v>
      </c>
      <c r="R163" s="184">
        <v>0</v>
      </c>
      <c r="S163" s="184">
        <v>2</v>
      </c>
      <c r="T163" s="184">
        <v>1</v>
      </c>
      <c r="U163" s="184">
        <v>2</v>
      </c>
      <c r="V163" s="184">
        <v>2</v>
      </c>
      <c r="W163" s="184">
        <v>0</v>
      </c>
      <c r="X163" s="184">
        <v>0</v>
      </c>
      <c r="Y163" s="184">
        <v>0</v>
      </c>
      <c r="Z163" s="184">
        <v>0</v>
      </c>
      <c r="AA163" s="184">
        <v>0</v>
      </c>
      <c r="AB163" s="184">
        <v>0</v>
      </c>
      <c r="AC163" s="185">
        <v>33</v>
      </c>
      <c r="AD163" s="185" t="s">
        <v>24</v>
      </c>
      <c r="AE163" s="184">
        <v>0</v>
      </c>
      <c r="AF163" s="185">
        <v>0</v>
      </c>
      <c r="AG163" s="184">
        <v>0</v>
      </c>
      <c r="AH163" s="185">
        <v>0</v>
      </c>
      <c r="AI163" s="184">
        <v>0</v>
      </c>
      <c r="AJ163" s="643">
        <v>0</v>
      </c>
    </row>
    <row r="164" spans="1:36" x14ac:dyDescent="0.2">
      <c r="A164" s="190" t="s">
        <v>92</v>
      </c>
      <c r="B164" s="642">
        <v>9</v>
      </c>
      <c r="C164" s="184">
        <v>0</v>
      </c>
      <c r="D164" s="184">
        <v>7</v>
      </c>
      <c r="E164" s="184">
        <v>1</v>
      </c>
      <c r="F164" s="184">
        <v>1</v>
      </c>
      <c r="G164" s="184">
        <v>0</v>
      </c>
      <c r="H164" s="184">
        <v>0</v>
      </c>
      <c r="I164" s="184">
        <v>0</v>
      </c>
      <c r="J164" s="184">
        <v>0</v>
      </c>
      <c r="K164" s="184">
        <v>0</v>
      </c>
      <c r="L164" s="184">
        <v>0</v>
      </c>
      <c r="M164" s="654" t="s">
        <v>24</v>
      </c>
      <c r="N164" s="669" t="s">
        <v>92</v>
      </c>
      <c r="O164" s="642">
        <v>0</v>
      </c>
      <c r="P164" s="184">
        <v>0</v>
      </c>
      <c r="Q164" s="184">
        <v>0</v>
      </c>
      <c r="R164" s="184">
        <v>0</v>
      </c>
      <c r="S164" s="184">
        <v>1</v>
      </c>
      <c r="T164" s="184">
        <v>4</v>
      </c>
      <c r="U164" s="184">
        <v>2</v>
      </c>
      <c r="V164" s="184">
        <v>0</v>
      </c>
      <c r="W164" s="184">
        <v>1</v>
      </c>
      <c r="X164" s="184">
        <v>1</v>
      </c>
      <c r="Y164" s="184">
        <v>0</v>
      </c>
      <c r="Z164" s="184">
        <v>0</v>
      </c>
      <c r="AA164" s="184">
        <v>0</v>
      </c>
      <c r="AB164" s="184">
        <v>0</v>
      </c>
      <c r="AC164" s="185">
        <v>37.6</v>
      </c>
      <c r="AD164" s="185" t="s">
        <v>24</v>
      </c>
      <c r="AE164" s="184">
        <v>0</v>
      </c>
      <c r="AF164" s="185">
        <v>0</v>
      </c>
      <c r="AG164" s="184">
        <v>0</v>
      </c>
      <c r="AH164" s="185">
        <v>0</v>
      </c>
      <c r="AI164" s="184">
        <v>0</v>
      </c>
      <c r="AJ164" s="643">
        <v>0</v>
      </c>
    </row>
    <row r="165" spans="1:36" x14ac:dyDescent="0.2">
      <c r="A165" s="190" t="s">
        <v>93</v>
      </c>
      <c r="B165" s="642">
        <v>7</v>
      </c>
      <c r="C165" s="184">
        <v>1</v>
      </c>
      <c r="D165" s="184">
        <v>6</v>
      </c>
      <c r="E165" s="184">
        <v>0</v>
      </c>
      <c r="F165" s="184">
        <v>0</v>
      </c>
      <c r="G165" s="184">
        <v>0</v>
      </c>
      <c r="H165" s="184">
        <v>0</v>
      </c>
      <c r="I165" s="184">
        <v>0</v>
      </c>
      <c r="J165" s="184">
        <v>0</v>
      </c>
      <c r="K165" s="184">
        <v>0</v>
      </c>
      <c r="L165" s="184">
        <v>0</v>
      </c>
      <c r="M165" s="654" t="s">
        <v>24</v>
      </c>
      <c r="N165" s="669" t="s">
        <v>93</v>
      </c>
      <c r="O165" s="642">
        <v>0</v>
      </c>
      <c r="P165" s="184">
        <v>0</v>
      </c>
      <c r="Q165" s="184">
        <v>1</v>
      </c>
      <c r="R165" s="184">
        <v>1</v>
      </c>
      <c r="S165" s="184">
        <v>1</v>
      </c>
      <c r="T165" s="184">
        <v>1</v>
      </c>
      <c r="U165" s="184">
        <v>2</v>
      </c>
      <c r="V165" s="184">
        <v>0</v>
      </c>
      <c r="W165" s="184">
        <v>1</v>
      </c>
      <c r="X165" s="184">
        <v>0</v>
      </c>
      <c r="Y165" s="184">
        <v>0</v>
      </c>
      <c r="Z165" s="184">
        <v>0</v>
      </c>
      <c r="AA165" s="184">
        <v>0</v>
      </c>
      <c r="AB165" s="184">
        <v>0</v>
      </c>
      <c r="AC165" s="185">
        <v>32.1</v>
      </c>
      <c r="AD165" s="185" t="s">
        <v>24</v>
      </c>
      <c r="AE165" s="184">
        <v>0</v>
      </c>
      <c r="AF165" s="185">
        <v>0</v>
      </c>
      <c r="AG165" s="184">
        <v>0</v>
      </c>
      <c r="AH165" s="185">
        <v>0</v>
      </c>
      <c r="AI165" s="184">
        <v>0</v>
      </c>
      <c r="AJ165" s="643">
        <v>0</v>
      </c>
    </row>
    <row r="166" spans="1:36" x14ac:dyDescent="0.2">
      <c r="A166" s="190" t="s">
        <v>57</v>
      </c>
      <c r="B166" s="642">
        <v>7</v>
      </c>
      <c r="C166" s="184">
        <v>0</v>
      </c>
      <c r="D166" s="184">
        <v>6</v>
      </c>
      <c r="E166" s="184">
        <v>0</v>
      </c>
      <c r="F166" s="184">
        <v>1</v>
      </c>
      <c r="G166" s="184">
        <v>0</v>
      </c>
      <c r="H166" s="184">
        <v>0</v>
      </c>
      <c r="I166" s="184">
        <v>0</v>
      </c>
      <c r="J166" s="184">
        <v>0</v>
      </c>
      <c r="K166" s="184">
        <v>0</v>
      </c>
      <c r="L166" s="184">
        <v>0</v>
      </c>
      <c r="M166" s="654" t="s">
        <v>24</v>
      </c>
      <c r="N166" s="669" t="s">
        <v>57</v>
      </c>
      <c r="O166" s="642">
        <v>0</v>
      </c>
      <c r="P166" s="184">
        <v>0</v>
      </c>
      <c r="Q166" s="184">
        <v>0</v>
      </c>
      <c r="R166" s="184">
        <v>0</v>
      </c>
      <c r="S166" s="184">
        <v>0</v>
      </c>
      <c r="T166" s="184">
        <v>2</v>
      </c>
      <c r="U166" s="184">
        <v>2</v>
      </c>
      <c r="V166" s="184">
        <v>0</v>
      </c>
      <c r="W166" s="184">
        <v>1</v>
      </c>
      <c r="X166" s="184">
        <v>2</v>
      </c>
      <c r="Y166" s="184">
        <v>0</v>
      </c>
      <c r="Z166" s="184">
        <v>0</v>
      </c>
      <c r="AA166" s="184">
        <v>0</v>
      </c>
      <c r="AB166" s="184">
        <v>0</v>
      </c>
      <c r="AC166" s="185">
        <v>41.9</v>
      </c>
      <c r="AD166" s="185" t="s">
        <v>24</v>
      </c>
      <c r="AE166" s="184">
        <v>0</v>
      </c>
      <c r="AF166" s="185">
        <v>0</v>
      </c>
      <c r="AG166" s="184">
        <v>0</v>
      </c>
      <c r="AH166" s="185">
        <v>0</v>
      </c>
      <c r="AI166" s="184">
        <v>0</v>
      </c>
      <c r="AJ166" s="643">
        <v>0</v>
      </c>
    </row>
    <row r="167" spans="1:36" x14ac:dyDescent="0.2">
      <c r="A167" s="190" t="s">
        <v>94</v>
      </c>
      <c r="B167" s="642">
        <v>12</v>
      </c>
      <c r="C167" s="184">
        <v>0</v>
      </c>
      <c r="D167" s="184">
        <v>9</v>
      </c>
      <c r="E167" s="184">
        <v>0</v>
      </c>
      <c r="F167" s="184">
        <v>3</v>
      </c>
      <c r="G167" s="184">
        <v>0</v>
      </c>
      <c r="H167" s="184">
        <v>0</v>
      </c>
      <c r="I167" s="184">
        <v>0</v>
      </c>
      <c r="J167" s="184">
        <v>0</v>
      </c>
      <c r="K167" s="184">
        <v>0</v>
      </c>
      <c r="L167" s="184">
        <v>0</v>
      </c>
      <c r="M167" s="654" t="s">
        <v>24</v>
      </c>
      <c r="N167" s="669" t="s">
        <v>94</v>
      </c>
      <c r="O167" s="642">
        <v>0</v>
      </c>
      <c r="P167" s="184">
        <v>0</v>
      </c>
      <c r="Q167" s="184">
        <v>0</v>
      </c>
      <c r="R167" s="184">
        <v>0</v>
      </c>
      <c r="S167" s="184">
        <v>0</v>
      </c>
      <c r="T167" s="184">
        <v>2</v>
      </c>
      <c r="U167" s="184">
        <v>6</v>
      </c>
      <c r="V167" s="184">
        <v>3</v>
      </c>
      <c r="W167" s="184">
        <v>0</v>
      </c>
      <c r="X167" s="184">
        <v>1</v>
      </c>
      <c r="Y167" s="184">
        <v>0</v>
      </c>
      <c r="Z167" s="184">
        <v>0</v>
      </c>
      <c r="AA167" s="184">
        <v>0</v>
      </c>
      <c r="AB167" s="184">
        <v>0</v>
      </c>
      <c r="AC167" s="185">
        <v>38.9</v>
      </c>
      <c r="AD167" s="185">
        <v>44.7</v>
      </c>
      <c r="AE167" s="184">
        <v>0</v>
      </c>
      <c r="AF167" s="185">
        <v>0</v>
      </c>
      <c r="AG167" s="184">
        <v>0</v>
      </c>
      <c r="AH167" s="185">
        <v>0</v>
      </c>
      <c r="AI167" s="184">
        <v>0</v>
      </c>
      <c r="AJ167" s="643">
        <v>0</v>
      </c>
    </row>
    <row r="168" spans="1:36" x14ac:dyDescent="0.2">
      <c r="A168" s="190" t="s">
        <v>95</v>
      </c>
      <c r="B168" s="642">
        <v>19</v>
      </c>
      <c r="C168" s="184">
        <v>0</v>
      </c>
      <c r="D168" s="184">
        <v>16</v>
      </c>
      <c r="E168" s="184">
        <v>1</v>
      </c>
      <c r="F168" s="184">
        <v>2</v>
      </c>
      <c r="G168" s="184">
        <v>0</v>
      </c>
      <c r="H168" s="184">
        <v>0</v>
      </c>
      <c r="I168" s="184">
        <v>0</v>
      </c>
      <c r="J168" s="184">
        <v>0</v>
      </c>
      <c r="K168" s="184">
        <v>0</v>
      </c>
      <c r="L168" s="184">
        <v>0</v>
      </c>
      <c r="M168" s="654" t="s">
        <v>24</v>
      </c>
      <c r="N168" s="669" t="s">
        <v>95</v>
      </c>
      <c r="O168" s="642">
        <v>0</v>
      </c>
      <c r="P168" s="184">
        <v>0</v>
      </c>
      <c r="Q168" s="184">
        <v>1</v>
      </c>
      <c r="R168" s="184">
        <v>2</v>
      </c>
      <c r="S168" s="184">
        <v>1</v>
      </c>
      <c r="T168" s="184">
        <v>2</v>
      </c>
      <c r="U168" s="184">
        <v>6</v>
      </c>
      <c r="V168" s="184">
        <v>5</v>
      </c>
      <c r="W168" s="184">
        <v>2</v>
      </c>
      <c r="X168" s="184">
        <v>0</v>
      </c>
      <c r="Y168" s="184">
        <v>0</v>
      </c>
      <c r="Z168" s="184">
        <v>0</v>
      </c>
      <c r="AA168" s="184">
        <v>0</v>
      </c>
      <c r="AB168" s="184">
        <v>0</v>
      </c>
      <c r="AC168" s="185">
        <v>36.1</v>
      </c>
      <c r="AD168" s="185">
        <v>43.6</v>
      </c>
      <c r="AE168" s="184">
        <v>0</v>
      </c>
      <c r="AF168" s="185">
        <v>0</v>
      </c>
      <c r="AG168" s="184">
        <v>0</v>
      </c>
      <c r="AH168" s="185">
        <v>0</v>
      </c>
      <c r="AI168" s="184">
        <v>0</v>
      </c>
      <c r="AJ168" s="643">
        <v>0</v>
      </c>
    </row>
    <row r="169" spans="1:36" x14ac:dyDescent="0.2">
      <c r="A169" s="190" t="s">
        <v>96</v>
      </c>
      <c r="B169" s="642">
        <v>10</v>
      </c>
      <c r="C169" s="184">
        <v>0</v>
      </c>
      <c r="D169" s="184">
        <v>10</v>
      </c>
      <c r="E169" s="184">
        <v>0</v>
      </c>
      <c r="F169" s="184">
        <v>0</v>
      </c>
      <c r="G169" s="184">
        <v>0</v>
      </c>
      <c r="H169" s="184">
        <v>0</v>
      </c>
      <c r="I169" s="184">
        <v>0</v>
      </c>
      <c r="J169" s="184">
        <v>0</v>
      </c>
      <c r="K169" s="184">
        <v>0</v>
      </c>
      <c r="L169" s="184">
        <v>0</v>
      </c>
      <c r="M169" s="654" t="s">
        <v>24</v>
      </c>
      <c r="N169" s="669" t="s">
        <v>96</v>
      </c>
      <c r="O169" s="642">
        <v>0</v>
      </c>
      <c r="P169" s="184">
        <v>0</v>
      </c>
      <c r="Q169" s="184">
        <v>0</v>
      </c>
      <c r="R169" s="184">
        <v>1</v>
      </c>
      <c r="S169" s="184">
        <v>2</v>
      </c>
      <c r="T169" s="184">
        <v>3</v>
      </c>
      <c r="U169" s="184">
        <v>2</v>
      </c>
      <c r="V169" s="184">
        <v>0</v>
      </c>
      <c r="W169" s="184">
        <v>2</v>
      </c>
      <c r="X169" s="184">
        <v>0</v>
      </c>
      <c r="Y169" s="184">
        <v>0</v>
      </c>
      <c r="Z169" s="184">
        <v>0</v>
      </c>
      <c r="AA169" s="184">
        <v>0</v>
      </c>
      <c r="AB169" s="184">
        <v>0</v>
      </c>
      <c r="AC169" s="185">
        <v>34.299999999999997</v>
      </c>
      <c r="AD169" s="185" t="s">
        <v>24</v>
      </c>
      <c r="AE169" s="184">
        <v>0</v>
      </c>
      <c r="AF169" s="185">
        <v>0</v>
      </c>
      <c r="AG169" s="184">
        <v>0</v>
      </c>
      <c r="AH169" s="185">
        <v>0</v>
      </c>
      <c r="AI169" s="184">
        <v>0</v>
      </c>
      <c r="AJ169" s="643">
        <v>0</v>
      </c>
    </row>
    <row r="170" spans="1:36" x14ac:dyDescent="0.2">
      <c r="A170" s="190" t="s">
        <v>58</v>
      </c>
      <c r="B170" s="642">
        <v>10</v>
      </c>
      <c r="C170" s="184">
        <v>0</v>
      </c>
      <c r="D170" s="184">
        <v>9</v>
      </c>
      <c r="E170" s="184">
        <v>0</v>
      </c>
      <c r="F170" s="184">
        <v>1</v>
      </c>
      <c r="G170" s="184">
        <v>0</v>
      </c>
      <c r="H170" s="184">
        <v>0</v>
      </c>
      <c r="I170" s="184">
        <v>0</v>
      </c>
      <c r="J170" s="184">
        <v>0</v>
      </c>
      <c r="K170" s="184">
        <v>0</v>
      </c>
      <c r="L170" s="184">
        <v>0</v>
      </c>
      <c r="M170" s="654" t="s">
        <v>24</v>
      </c>
      <c r="N170" s="669" t="s">
        <v>58</v>
      </c>
      <c r="O170" s="642">
        <v>0</v>
      </c>
      <c r="P170" s="184">
        <v>0</v>
      </c>
      <c r="Q170" s="184">
        <v>0</v>
      </c>
      <c r="R170" s="184">
        <v>0</v>
      </c>
      <c r="S170" s="184">
        <v>0</v>
      </c>
      <c r="T170" s="184">
        <v>3</v>
      </c>
      <c r="U170" s="184">
        <v>6</v>
      </c>
      <c r="V170" s="184">
        <v>1</v>
      </c>
      <c r="W170" s="184">
        <v>0</v>
      </c>
      <c r="X170" s="184">
        <v>0</v>
      </c>
      <c r="Y170" s="184">
        <v>0</v>
      </c>
      <c r="Z170" s="184">
        <v>0</v>
      </c>
      <c r="AA170" s="184">
        <v>0</v>
      </c>
      <c r="AB170" s="184">
        <v>0</v>
      </c>
      <c r="AC170" s="185">
        <v>36.4</v>
      </c>
      <c r="AD170" s="185" t="s">
        <v>24</v>
      </c>
      <c r="AE170" s="184">
        <v>0</v>
      </c>
      <c r="AF170" s="185">
        <v>0</v>
      </c>
      <c r="AG170" s="184">
        <v>0</v>
      </c>
      <c r="AH170" s="185">
        <v>0</v>
      </c>
      <c r="AI170" s="184">
        <v>0</v>
      </c>
      <c r="AJ170" s="643">
        <v>0</v>
      </c>
    </row>
    <row r="171" spans="1:36" x14ac:dyDescent="0.2">
      <c r="A171" s="190" t="s">
        <v>97</v>
      </c>
      <c r="B171" s="642">
        <v>12</v>
      </c>
      <c r="C171" s="184">
        <v>1</v>
      </c>
      <c r="D171" s="184">
        <v>10</v>
      </c>
      <c r="E171" s="184">
        <v>0</v>
      </c>
      <c r="F171" s="184">
        <v>1</v>
      </c>
      <c r="G171" s="184">
        <v>0</v>
      </c>
      <c r="H171" s="184">
        <v>0</v>
      </c>
      <c r="I171" s="184">
        <v>0</v>
      </c>
      <c r="J171" s="184">
        <v>0</v>
      </c>
      <c r="K171" s="184">
        <v>0</v>
      </c>
      <c r="L171" s="184">
        <v>0</v>
      </c>
      <c r="M171" s="654" t="s">
        <v>24</v>
      </c>
      <c r="N171" s="669" t="s">
        <v>97</v>
      </c>
      <c r="O171" s="642">
        <v>0</v>
      </c>
      <c r="P171" s="184">
        <v>0</v>
      </c>
      <c r="Q171" s="184">
        <v>0</v>
      </c>
      <c r="R171" s="184">
        <v>0</v>
      </c>
      <c r="S171" s="184">
        <v>4</v>
      </c>
      <c r="T171" s="184">
        <v>0</v>
      </c>
      <c r="U171" s="184">
        <v>5</v>
      </c>
      <c r="V171" s="184">
        <v>2</v>
      </c>
      <c r="W171" s="184">
        <v>1</v>
      </c>
      <c r="X171" s="184">
        <v>0</v>
      </c>
      <c r="Y171" s="184">
        <v>0</v>
      </c>
      <c r="Z171" s="184">
        <v>0</v>
      </c>
      <c r="AA171" s="184">
        <v>0</v>
      </c>
      <c r="AB171" s="184">
        <v>0</v>
      </c>
      <c r="AC171" s="185">
        <v>35.6</v>
      </c>
      <c r="AD171" s="185">
        <v>45.1</v>
      </c>
      <c r="AE171" s="184">
        <v>0</v>
      </c>
      <c r="AF171" s="185">
        <v>0</v>
      </c>
      <c r="AG171" s="184">
        <v>0</v>
      </c>
      <c r="AH171" s="185">
        <v>0</v>
      </c>
      <c r="AI171" s="184">
        <v>0</v>
      </c>
      <c r="AJ171" s="643">
        <v>0</v>
      </c>
    </row>
    <row r="172" spans="1:36" x14ac:dyDescent="0.2">
      <c r="A172" s="190" t="s">
        <v>98</v>
      </c>
      <c r="B172" s="642">
        <v>12</v>
      </c>
      <c r="C172" s="184">
        <v>0</v>
      </c>
      <c r="D172" s="184">
        <v>9</v>
      </c>
      <c r="E172" s="184">
        <v>0</v>
      </c>
      <c r="F172" s="184">
        <v>2</v>
      </c>
      <c r="G172" s="184">
        <v>0</v>
      </c>
      <c r="H172" s="184">
        <v>0</v>
      </c>
      <c r="I172" s="184">
        <v>1</v>
      </c>
      <c r="J172" s="184">
        <v>0</v>
      </c>
      <c r="K172" s="184">
        <v>0</v>
      </c>
      <c r="L172" s="184">
        <v>0</v>
      </c>
      <c r="M172" s="654" t="s">
        <v>24</v>
      </c>
      <c r="N172" s="669" t="s">
        <v>98</v>
      </c>
      <c r="O172" s="642">
        <v>0</v>
      </c>
      <c r="P172" s="184">
        <v>0</v>
      </c>
      <c r="Q172" s="184">
        <v>0</v>
      </c>
      <c r="R172" s="184">
        <v>2</v>
      </c>
      <c r="S172" s="184">
        <v>3</v>
      </c>
      <c r="T172" s="184">
        <v>2</v>
      </c>
      <c r="U172" s="184">
        <v>2</v>
      </c>
      <c r="V172" s="184">
        <v>3</v>
      </c>
      <c r="W172" s="184">
        <v>0</v>
      </c>
      <c r="X172" s="184">
        <v>0</v>
      </c>
      <c r="Y172" s="184">
        <v>0</v>
      </c>
      <c r="Z172" s="184">
        <v>0</v>
      </c>
      <c r="AA172" s="184">
        <v>0</v>
      </c>
      <c r="AB172" s="184">
        <v>0</v>
      </c>
      <c r="AC172" s="185">
        <v>33.200000000000003</v>
      </c>
      <c r="AD172" s="185">
        <v>41.3</v>
      </c>
      <c r="AE172" s="184">
        <v>0</v>
      </c>
      <c r="AF172" s="185">
        <v>0</v>
      </c>
      <c r="AG172" s="184">
        <v>0</v>
      </c>
      <c r="AH172" s="185">
        <v>0</v>
      </c>
      <c r="AI172" s="184">
        <v>0</v>
      </c>
      <c r="AJ172" s="643">
        <v>0</v>
      </c>
    </row>
    <row r="173" spans="1:36" x14ac:dyDescent="0.2">
      <c r="A173" s="190" t="s">
        <v>99</v>
      </c>
      <c r="B173" s="642">
        <v>20</v>
      </c>
      <c r="C173" s="184">
        <v>0</v>
      </c>
      <c r="D173" s="184">
        <v>18</v>
      </c>
      <c r="E173" s="184">
        <v>0</v>
      </c>
      <c r="F173" s="184">
        <v>2</v>
      </c>
      <c r="G173" s="184">
        <v>0</v>
      </c>
      <c r="H173" s="184">
        <v>0</v>
      </c>
      <c r="I173" s="184">
        <v>0</v>
      </c>
      <c r="J173" s="184">
        <v>0</v>
      </c>
      <c r="K173" s="184">
        <v>0</v>
      </c>
      <c r="L173" s="184">
        <v>0</v>
      </c>
      <c r="M173" s="654" t="s">
        <v>24</v>
      </c>
      <c r="N173" s="669" t="s">
        <v>99</v>
      </c>
      <c r="O173" s="642">
        <v>0</v>
      </c>
      <c r="P173" s="184">
        <v>1</v>
      </c>
      <c r="Q173" s="184">
        <v>0</v>
      </c>
      <c r="R173" s="184">
        <v>0</v>
      </c>
      <c r="S173" s="184">
        <v>2</v>
      </c>
      <c r="T173" s="184">
        <v>6</v>
      </c>
      <c r="U173" s="184">
        <v>8</v>
      </c>
      <c r="V173" s="184">
        <v>3</v>
      </c>
      <c r="W173" s="184">
        <v>0</v>
      </c>
      <c r="X173" s="184">
        <v>0</v>
      </c>
      <c r="Y173" s="184">
        <v>0</v>
      </c>
      <c r="Z173" s="184">
        <v>0</v>
      </c>
      <c r="AA173" s="184">
        <v>0</v>
      </c>
      <c r="AB173" s="184">
        <v>0</v>
      </c>
      <c r="AC173" s="185">
        <v>34</v>
      </c>
      <c r="AD173" s="185">
        <v>40.200000000000003</v>
      </c>
      <c r="AE173" s="184">
        <v>0</v>
      </c>
      <c r="AF173" s="185">
        <v>0</v>
      </c>
      <c r="AG173" s="184">
        <v>0</v>
      </c>
      <c r="AH173" s="185">
        <v>0</v>
      </c>
      <c r="AI173" s="184">
        <v>0</v>
      </c>
      <c r="AJ173" s="643">
        <v>0</v>
      </c>
    </row>
    <row r="174" spans="1:36" x14ac:dyDescent="0.2">
      <c r="A174" s="190" t="s">
        <v>60</v>
      </c>
      <c r="B174" s="642">
        <v>13</v>
      </c>
      <c r="C174" s="184">
        <v>0</v>
      </c>
      <c r="D174" s="184">
        <v>10</v>
      </c>
      <c r="E174" s="184">
        <v>1</v>
      </c>
      <c r="F174" s="184">
        <v>1</v>
      </c>
      <c r="G174" s="184">
        <v>0</v>
      </c>
      <c r="H174" s="184">
        <v>0</v>
      </c>
      <c r="I174" s="184">
        <v>0</v>
      </c>
      <c r="J174" s="184">
        <v>1</v>
      </c>
      <c r="K174" s="184">
        <v>0</v>
      </c>
      <c r="L174" s="184">
        <v>0</v>
      </c>
      <c r="M174" s="654" t="s">
        <v>24</v>
      </c>
      <c r="N174" s="669" t="s">
        <v>60</v>
      </c>
      <c r="O174" s="642">
        <v>0</v>
      </c>
      <c r="P174" s="184">
        <v>0</v>
      </c>
      <c r="Q174" s="184">
        <v>0</v>
      </c>
      <c r="R174" s="184">
        <v>0</v>
      </c>
      <c r="S174" s="184">
        <v>3</v>
      </c>
      <c r="T174" s="184">
        <v>1</v>
      </c>
      <c r="U174" s="184">
        <v>6</v>
      </c>
      <c r="V174" s="184">
        <v>1</v>
      </c>
      <c r="W174" s="184">
        <v>1</v>
      </c>
      <c r="X174" s="184">
        <v>1</v>
      </c>
      <c r="Y174" s="184">
        <v>0</v>
      </c>
      <c r="Z174" s="184">
        <v>0</v>
      </c>
      <c r="AA174" s="184">
        <v>0</v>
      </c>
      <c r="AB174" s="184">
        <v>0</v>
      </c>
      <c r="AC174" s="185">
        <v>36.9</v>
      </c>
      <c r="AD174" s="185">
        <v>47.8</v>
      </c>
      <c r="AE174" s="184">
        <v>0</v>
      </c>
      <c r="AF174" s="185">
        <v>0</v>
      </c>
      <c r="AG174" s="184">
        <v>0</v>
      </c>
      <c r="AH174" s="185">
        <v>0</v>
      </c>
      <c r="AI174" s="184">
        <v>0</v>
      </c>
      <c r="AJ174" s="643">
        <v>0</v>
      </c>
    </row>
    <row r="175" spans="1:36" x14ac:dyDescent="0.2">
      <c r="A175" s="190" t="s">
        <v>100</v>
      </c>
      <c r="B175" s="642">
        <v>10</v>
      </c>
      <c r="C175" s="184">
        <v>1</v>
      </c>
      <c r="D175" s="184">
        <v>9</v>
      </c>
      <c r="E175" s="184">
        <v>0</v>
      </c>
      <c r="F175" s="184">
        <v>0</v>
      </c>
      <c r="G175" s="184">
        <v>0</v>
      </c>
      <c r="H175" s="184">
        <v>0</v>
      </c>
      <c r="I175" s="184">
        <v>0</v>
      </c>
      <c r="J175" s="184">
        <v>0</v>
      </c>
      <c r="K175" s="184">
        <v>0</v>
      </c>
      <c r="L175" s="184">
        <v>0</v>
      </c>
      <c r="M175" s="654" t="s">
        <v>24</v>
      </c>
      <c r="N175" s="669" t="s">
        <v>100</v>
      </c>
      <c r="O175" s="642">
        <v>0</v>
      </c>
      <c r="P175" s="184">
        <v>0</v>
      </c>
      <c r="Q175" s="184">
        <v>1</v>
      </c>
      <c r="R175" s="184">
        <v>0</v>
      </c>
      <c r="S175" s="184">
        <v>2</v>
      </c>
      <c r="T175" s="184">
        <v>0</v>
      </c>
      <c r="U175" s="184">
        <v>4</v>
      </c>
      <c r="V175" s="184">
        <v>1</v>
      </c>
      <c r="W175" s="184">
        <v>2</v>
      </c>
      <c r="X175" s="184">
        <v>0</v>
      </c>
      <c r="Y175" s="184">
        <v>0</v>
      </c>
      <c r="Z175" s="184">
        <v>0</v>
      </c>
      <c r="AA175" s="184">
        <v>0</v>
      </c>
      <c r="AB175" s="184">
        <v>0</v>
      </c>
      <c r="AC175" s="185">
        <v>36.9</v>
      </c>
      <c r="AD175" s="185" t="s">
        <v>24</v>
      </c>
      <c r="AE175" s="184">
        <v>0</v>
      </c>
      <c r="AF175" s="185">
        <v>0</v>
      </c>
      <c r="AG175" s="184">
        <v>0</v>
      </c>
      <c r="AH175" s="185">
        <v>0</v>
      </c>
      <c r="AI175" s="184">
        <v>0</v>
      </c>
      <c r="AJ175" s="643">
        <v>0</v>
      </c>
    </row>
    <row r="176" spans="1:36" x14ac:dyDescent="0.2">
      <c r="A176" s="190" t="s">
        <v>101</v>
      </c>
      <c r="B176" s="642">
        <v>11</v>
      </c>
      <c r="C176" s="184">
        <v>0</v>
      </c>
      <c r="D176" s="184">
        <v>9</v>
      </c>
      <c r="E176" s="184">
        <v>0</v>
      </c>
      <c r="F176" s="184">
        <v>2</v>
      </c>
      <c r="G176" s="184">
        <v>0</v>
      </c>
      <c r="H176" s="184">
        <v>0</v>
      </c>
      <c r="I176" s="184">
        <v>0</v>
      </c>
      <c r="J176" s="184">
        <v>0</v>
      </c>
      <c r="K176" s="184">
        <v>0</v>
      </c>
      <c r="L176" s="184">
        <v>0</v>
      </c>
      <c r="M176" s="654" t="s">
        <v>24</v>
      </c>
      <c r="N176" s="669" t="s">
        <v>101</v>
      </c>
      <c r="O176" s="642">
        <v>0</v>
      </c>
      <c r="P176" s="184">
        <v>0</v>
      </c>
      <c r="Q176" s="184">
        <v>0</v>
      </c>
      <c r="R176" s="184">
        <v>0</v>
      </c>
      <c r="S176" s="184">
        <v>1</v>
      </c>
      <c r="T176" s="184">
        <v>2</v>
      </c>
      <c r="U176" s="184">
        <v>4</v>
      </c>
      <c r="V176" s="184">
        <v>1</v>
      </c>
      <c r="W176" s="184">
        <v>0</v>
      </c>
      <c r="X176" s="184">
        <v>3</v>
      </c>
      <c r="Y176" s="184">
        <v>0</v>
      </c>
      <c r="Z176" s="184">
        <v>0</v>
      </c>
      <c r="AA176" s="184">
        <v>0</v>
      </c>
      <c r="AB176" s="184">
        <v>0</v>
      </c>
      <c r="AC176" s="185">
        <v>40.700000000000003</v>
      </c>
      <c r="AD176" s="185">
        <v>52.3</v>
      </c>
      <c r="AE176" s="184">
        <v>0</v>
      </c>
      <c r="AF176" s="185">
        <v>0</v>
      </c>
      <c r="AG176" s="184">
        <v>0</v>
      </c>
      <c r="AH176" s="185">
        <v>0</v>
      </c>
      <c r="AI176" s="184">
        <v>0</v>
      </c>
      <c r="AJ176" s="643">
        <v>0</v>
      </c>
    </row>
    <row r="177" spans="1:36" x14ac:dyDescent="0.2">
      <c r="A177" s="190" t="s">
        <v>102</v>
      </c>
      <c r="B177" s="642">
        <v>9</v>
      </c>
      <c r="C177" s="184">
        <v>1</v>
      </c>
      <c r="D177" s="184">
        <v>8</v>
      </c>
      <c r="E177" s="184">
        <v>0</v>
      </c>
      <c r="F177" s="184">
        <v>0</v>
      </c>
      <c r="G177" s="184">
        <v>0</v>
      </c>
      <c r="H177" s="184">
        <v>0</v>
      </c>
      <c r="I177" s="184">
        <v>0</v>
      </c>
      <c r="J177" s="184">
        <v>0</v>
      </c>
      <c r="K177" s="184">
        <v>0</v>
      </c>
      <c r="L177" s="184">
        <v>0</v>
      </c>
      <c r="M177" s="654" t="s">
        <v>24</v>
      </c>
      <c r="N177" s="669" t="s">
        <v>102</v>
      </c>
      <c r="O177" s="642">
        <v>0</v>
      </c>
      <c r="P177" s="184">
        <v>1</v>
      </c>
      <c r="Q177" s="184">
        <v>0</v>
      </c>
      <c r="R177" s="184">
        <v>0</v>
      </c>
      <c r="S177" s="184">
        <v>2</v>
      </c>
      <c r="T177" s="184">
        <v>3</v>
      </c>
      <c r="U177" s="184">
        <v>2</v>
      </c>
      <c r="V177" s="184">
        <v>0</v>
      </c>
      <c r="W177" s="184">
        <v>0</v>
      </c>
      <c r="X177" s="184">
        <v>1</v>
      </c>
      <c r="Y177" s="184">
        <v>0</v>
      </c>
      <c r="Z177" s="184">
        <v>0</v>
      </c>
      <c r="AA177" s="184">
        <v>0</v>
      </c>
      <c r="AB177" s="184">
        <v>0</v>
      </c>
      <c r="AC177" s="185">
        <v>33.4</v>
      </c>
      <c r="AD177" s="185" t="s">
        <v>24</v>
      </c>
      <c r="AE177" s="184">
        <v>0</v>
      </c>
      <c r="AF177" s="185">
        <v>0</v>
      </c>
      <c r="AG177" s="184">
        <v>0</v>
      </c>
      <c r="AH177" s="185">
        <v>0</v>
      </c>
      <c r="AI177" s="184">
        <v>0</v>
      </c>
      <c r="AJ177" s="643">
        <v>0</v>
      </c>
    </row>
    <row r="178" spans="1:36" x14ac:dyDescent="0.2">
      <c r="A178" s="190" t="s">
        <v>62</v>
      </c>
      <c r="B178" s="642">
        <v>13</v>
      </c>
      <c r="C178" s="184">
        <v>0</v>
      </c>
      <c r="D178" s="184">
        <v>8</v>
      </c>
      <c r="E178" s="184">
        <v>0</v>
      </c>
      <c r="F178" s="184">
        <v>5</v>
      </c>
      <c r="G178" s="184">
        <v>0</v>
      </c>
      <c r="H178" s="184">
        <v>0</v>
      </c>
      <c r="I178" s="184">
        <v>0</v>
      </c>
      <c r="J178" s="184">
        <v>0</v>
      </c>
      <c r="K178" s="184">
        <v>0</v>
      </c>
      <c r="L178" s="184">
        <v>0</v>
      </c>
      <c r="M178" s="654" t="s">
        <v>24</v>
      </c>
      <c r="N178" s="669" t="s">
        <v>62</v>
      </c>
      <c r="O178" s="642">
        <v>0</v>
      </c>
      <c r="P178" s="184">
        <v>1</v>
      </c>
      <c r="Q178" s="184">
        <v>0</v>
      </c>
      <c r="R178" s="184">
        <v>0</v>
      </c>
      <c r="S178" s="184">
        <v>3</v>
      </c>
      <c r="T178" s="184">
        <v>0</v>
      </c>
      <c r="U178" s="184">
        <v>4</v>
      </c>
      <c r="V178" s="184">
        <v>3</v>
      </c>
      <c r="W178" s="184">
        <v>1</v>
      </c>
      <c r="X178" s="184">
        <v>1</v>
      </c>
      <c r="Y178" s="184">
        <v>0</v>
      </c>
      <c r="Z178" s="184">
        <v>0</v>
      </c>
      <c r="AA178" s="184">
        <v>0</v>
      </c>
      <c r="AB178" s="184">
        <v>0</v>
      </c>
      <c r="AC178" s="185">
        <v>35.799999999999997</v>
      </c>
      <c r="AD178" s="185">
        <v>48.8</v>
      </c>
      <c r="AE178" s="184">
        <v>0</v>
      </c>
      <c r="AF178" s="185">
        <v>0</v>
      </c>
      <c r="AG178" s="184">
        <v>0</v>
      </c>
      <c r="AH178" s="185">
        <v>0</v>
      </c>
      <c r="AI178" s="184">
        <v>0</v>
      </c>
      <c r="AJ178" s="643">
        <v>0</v>
      </c>
    </row>
    <row r="179" spans="1:36" x14ac:dyDescent="0.2">
      <c r="A179" s="190" t="s">
        <v>103</v>
      </c>
      <c r="B179" s="642">
        <v>17</v>
      </c>
      <c r="C179" s="184">
        <v>1</v>
      </c>
      <c r="D179" s="184">
        <v>12</v>
      </c>
      <c r="E179" s="184">
        <v>1</v>
      </c>
      <c r="F179" s="184">
        <v>3</v>
      </c>
      <c r="G179" s="184">
        <v>0</v>
      </c>
      <c r="H179" s="184">
        <v>0</v>
      </c>
      <c r="I179" s="184">
        <v>0</v>
      </c>
      <c r="J179" s="184">
        <v>0</v>
      </c>
      <c r="K179" s="184">
        <v>0</v>
      </c>
      <c r="L179" s="184">
        <v>0</v>
      </c>
      <c r="M179" s="654" t="s">
        <v>24</v>
      </c>
      <c r="N179" s="669" t="s">
        <v>103</v>
      </c>
      <c r="O179" s="642">
        <v>0</v>
      </c>
      <c r="P179" s="184">
        <v>0</v>
      </c>
      <c r="Q179" s="184">
        <v>0</v>
      </c>
      <c r="R179" s="184">
        <v>1</v>
      </c>
      <c r="S179" s="184">
        <v>1</v>
      </c>
      <c r="T179" s="184">
        <v>6</v>
      </c>
      <c r="U179" s="184">
        <v>3</v>
      </c>
      <c r="V179" s="184">
        <v>1</v>
      </c>
      <c r="W179" s="184">
        <v>4</v>
      </c>
      <c r="X179" s="184">
        <v>1</v>
      </c>
      <c r="Y179" s="184">
        <v>0</v>
      </c>
      <c r="Z179" s="184">
        <v>0</v>
      </c>
      <c r="AA179" s="184">
        <v>0</v>
      </c>
      <c r="AB179" s="184">
        <v>0</v>
      </c>
      <c r="AC179" s="185">
        <v>37.799999999999997</v>
      </c>
      <c r="AD179" s="185">
        <v>46.6</v>
      </c>
      <c r="AE179" s="184">
        <v>0</v>
      </c>
      <c r="AF179" s="185">
        <v>0</v>
      </c>
      <c r="AG179" s="184">
        <v>0</v>
      </c>
      <c r="AH179" s="185">
        <v>0</v>
      </c>
      <c r="AI179" s="184">
        <v>0</v>
      </c>
      <c r="AJ179" s="643">
        <v>0</v>
      </c>
    </row>
    <row r="180" spans="1:36" x14ac:dyDescent="0.2">
      <c r="A180" s="190" t="s">
        <v>104</v>
      </c>
      <c r="B180" s="642">
        <v>18</v>
      </c>
      <c r="C180" s="184">
        <v>0</v>
      </c>
      <c r="D180" s="184">
        <v>17</v>
      </c>
      <c r="E180" s="184">
        <v>0</v>
      </c>
      <c r="F180" s="184">
        <v>1</v>
      </c>
      <c r="G180" s="184">
        <v>0</v>
      </c>
      <c r="H180" s="184">
        <v>0</v>
      </c>
      <c r="I180" s="184">
        <v>0</v>
      </c>
      <c r="J180" s="184">
        <v>0</v>
      </c>
      <c r="K180" s="184">
        <v>0</v>
      </c>
      <c r="L180" s="184">
        <v>0</v>
      </c>
      <c r="M180" s="654" t="s">
        <v>24</v>
      </c>
      <c r="N180" s="669" t="s">
        <v>104</v>
      </c>
      <c r="O180" s="642">
        <v>0</v>
      </c>
      <c r="P180" s="184">
        <v>0</v>
      </c>
      <c r="Q180" s="184">
        <v>0</v>
      </c>
      <c r="R180" s="184">
        <v>2</v>
      </c>
      <c r="S180" s="184">
        <v>2</v>
      </c>
      <c r="T180" s="184">
        <v>6</v>
      </c>
      <c r="U180" s="184">
        <v>2</v>
      </c>
      <c r="V180" s="184">
        <v>4</v>
      </c>
      <c r="W180" s="184">
        <v>1</v>
      </c>
      <c r="X180" s="184">
        <v>1</v>
      </c>
      <c r="Y180" s="184">
        <v>0</v>
      </c>
      <c r="Z180" s="184">
        <v>0</v>
      </c>
      <c r="AA180" s="184">
        <v>0</v>
      </c>
      <c r="AB180" s="184">
        <v>0</v>
      </c>
      <c r="AC180" s="185">
        <v>36.200000000000003</v>
      </c>
      <c r="AD180" s="185">
        <v>45.1</v>
      </c>
      <c r="AE180" s="184">
        <v>0</v>
      </c>
      <c r="AF180" s="185">
        <v>0</v>
      </c>
      <c r="AG180" s="184">
        <v>0</v>
      </c>
      <c r="AH180" s="185">
        <v>0</v>
      </c>
      <c r="AI180" s="184">
        <v>0</v>
      </c>
      <c r="AJ180" s="643">
        <v>0</v>
      </c>
    </row>
    <row r="181" spans="1:36" x14ac:dyDescent="0.2">
      <c r="A181" s="190" t="s">
        <v>105</v>
      </c>
      <c r="B181" s="642">
        <v>12</v>
      </c>
      <c r="C181" s="184">
        <v>0</v>
      </c>
      <c r="D181" s="184">
        <v>11</v>
      </c>
      <c r="E181" s="184">
        <v>1</v>
      </c>
      <c r="F181" s="184">
        <v>0</v>
      </c>
      <c r="G181" s="184">
        <v>0</v>
      </c>
      <c r="H181" s="184">
        <v>0</v>
      </c>
      <c r="I181" s="184">
        <v>0</v>
      </c>
      <c r="J181" s="184">
        <v>0</v>
      </c>
      <c r="K181" s="184">
        <v>0</v>
      </c>
      <c r="L181" s="184">
        <v>0</v>
      </c>
      <c r="M181" s="654" t="s">
        <v>24</v>
      </c>
      <c r="N181" s="669" t="s">
        <v>105</v>
      </c>
      <c r="O181" s="642">
        <v>0</v>
      </c>
      <c r="P181" s="184">
        <v>0</v>
      </c>
      <c r="Q181" s="184">
        <v>0</v>
      </c>
      <c r="R181" s="184">
        <v>0</v>
      </c>
      <c r="S181" s="184">
        <v>1</v>
      </c>
      <c r="T181" s="184">
        <v>0</v>
      </c>
      <c r="U181" s="184">
        <v>3</v>
      </c>
      <c r="V181" s="184">
        <v>3</v>
      </c>
      <c r="W181" s="184">
        <v>3</v>
      </c>
      <c r="X181" s="184">
        <v>2</v>
      </c>
      <c r="Y181" s="184">
        <v>0</v>
      </c>
      <c r="Z181" s="184">
        <v>0</v>
      </c>
      <c r="AA181" s="184">
        <v>0</v>
      </c>
      <c r="AB181" s="184">
        <v>0</v>
      </c>
      <c r="AC181" s="185">
        <v>42.3</v>
      </c>
      <c r="AD181" s="185">
        <v>51.2</v>
      </c>
      <c r="AE181" s="184">
        <v>0</v>
      </c>
      <c r="AF181" s="185">
        <v>0</v>
      </c>
      <c r="AG181" s="184">
        <v>0</v>
      </c>
      <c r="AH181" s="185">
        <v>0</v>
      </c>
      <c r="AI181" s="184">
        <v>0</v>
      </c>
      <c r="AJ181" s="643">
        <v>0</v>
      </c>
    </row>
    <row r="182" spans="1:36" x14ac:dyDescent="0.2">
      <c r="A182" s="190" t="s">
        <v>64</v>
      </c>
      <c r="B182" s="642">
        <v>13</v>
      </c>
      <c r="C182" s="184">
        <v>0</v>
      </c>
      <c r="D182" s="184">
        <v>11</v>
      </c>
      <c r="E182" s="184">
        <v>0</v>
      </c>
      <c r="F182" s="184">
        <v>1</v>
      </c>
      <c r="G182" s="184">
        <v>0</v>
      </c>
      <c r="H182" s="184">
        <v>0</v>
      </c>
      <c r="I182" s="184">
        <v>1</v>
      </c>
      <c r="J182" s="184">
        <v>0</v>
      </c>
      <c r="K182" s="184">
        <v>0</v>
      </c>
      <c r="L182" s="184">
        <v>0</v>
      </c>
      <c r="M182" s="654" t="s">
        <v>24</v>
      </c>
      <c r="N182" s="669" t="s">
        <v>64</v>
      </c>
      <c r="O182" s="642">
        <v>0</v>
      </c>
      <c r="P182" s="184">
        <v>0</v>
      </c>
      <c r="Q182" s="184">
        <v>1</v>
      </c>
      <c r="R182" s="184">
        <v>0</v>
      </c>
      <c r="S182" s="184">
        <v>0</v>
      </c>
      <c r="T182" s="184">
        <v>0</v>
      </c>
      <c r="U182" s="184">
        <v>6</v>
      </c>
      <c r="V182" s="184">
        <v>4</v>
      </c>
      <c r="W182" s="184">
        <v>0</v>
      </c>
      <c r="X182" s="184">
        <v>2</v>
      </c>
      <c r="Y182" s="184">
        <v>0</v>
      </c>
      <c r="Z182" s="184">
        <v>0</v>
      </c>
      <c r="AA182" s="184">
        <v>0</v>
      </c>
      <c r="AB182" s="184">
        <v>0</v>
      </c>
      <c r="AC182" s="185">
        <v>39.9</v>
      </c>
      <c r="AD182" s="185">
        <v>50.7</v>
      </c>
      <c r="AE182" s="184">
        <v>0</v>
      </c>
      <c r="AF182" s="185">
        <v>0</v>
      </c>
      <c r="AG182" s="184">
        <v>0</v>
      </c>
      <c r="AH182" s="185">
        <v>0</v>
      </c>
      <c r="AI182" s="184">
        <v>0</v>
      </c>
      <c r="AJ182" s="643">
        <v>0</v>
      </c>
    </row>
    <row r="183" spans="1:36" x14ac:dyDescent="0.2">
      <c r="A183" s="190" t="s">
        <v>106</v>
      </c>
      <c r="B183" s="642">
        <v>8</v>
      </c>
      <c r="C183" s="184">
        <v>1</v>
      </c>
      <c r="D183" s="184">
        <v>7</v>
      </c>
      <c r="E183" s="184">
        <v>0</v>
      </c>
      <c r="F183" s="184">
        <v>0</v>
      </c>
      <c r="G183" s="184">
        <v>0</v>
      </c>
      <c r="H183" s="184">
        <v>0</v>
      </c>
      <c r="I183" s="184">
        <v>0</v>
      </c>
      <c r="J183" s="184">
        <v>0</v>
      </c>
      <c r="K183" s="184">
        <v>0</v>
      </c>
      <c r="L183" s="184">
        <v>0</v>
      </c>
      <c r="M183" s="654" t="s">
        <v>24</v>
      </c>
      <c r="N183" s="669" t="s">
        <v>106</v>
      </c>
      <c r="O183" s="642">
        <v>0</v>
      </c>
      <c r="P183" s="184">
        <v>0</v>
      </c>
      <c r="Q183" s="184">
        <v>0</v>
      </c>
      <c r="R183" s="184">
        <v>1</v>
      </c>
      <c r="S183" s="184">
        <v>2</v>
      </c>
      <c r="T183" s="184">
        <v>1</v>
      </c>
      <c r="U183" s="184">
        <v>3</v>
      </c>
      <c r="V183" s="184">
        <v>0</v>
      </c>
      <c r="W183" s="184">
        <v>0</v>
      </c>
      <c r="X183" s="184">
        <v>1</v>
      </c>
      <c r="Y183" s="184">
        <v>0</v>
      </c>
      <c r="Z183" s="184">
        <v>0</v>
      </c>
      <c r="AA183" s="184">
        <v>0</v>
      </c>
      <c r="AB183" s="184">
        <v>0</v>
      </c>
      <c r="AC183" s="185">
        <v>35.9</v>
      </c>
      <c r="AD183" s="185" t="s">
        <v>24</v>
      </c>
      <c r="AE183" s="184">
        <v>0</v>
      </c>
      <c r="AF183" s="185">
        <v>0</v>
      </c>
      <c r="AG183" s="184">
        <v>0</v>
      </c>
      <c r="AH183" s="185">
        <v>0</v>
      </c>
      <c r="AI183" s="184">
        <v>0</v>
      </c>
      <c r="AJ183" s="643">
        <v>0</v>
      </c>
    </row>
    <row r="184" spans="1:36" x14ac:dyDescent="0.2">
      <c r="A184" s="190" t="s">
        <v>107</v>
      </c>
      <c r="B184" s="642">
        <v>9</v>
      </c>
      <c r="C184" s="184">
        <v>0</v>
      </c>
      <c r="D184" s="184">
        <v>7</v>
      </c>
      <c r="E184" s="184">
        <v>1</v>
      </c>
      <c r="F184" s="184">
        <v>1</v>
      </c>
      <c r="G184" s="184">
        <v>0</v>
      </c>
      <c r="H184" s="184">
        <v>0</v>
      </c>
      <c r="I184" s="184">
        <v>0</v>
      </c>
      <c r="J184" s="184">
        <v>0</v>
      </c>
      <c r="K184" s="184">
        <v>0</v>
      </c>
      <c r="L184" s="184">
        <v>0</v>
      </c>
      <c r="M184" s="654" t="s">
        <v>24</v>
      </c>
      <c r="N184" s="669" t="s">
        <v>107</v>
      </c>
      <c r="O184" s="642">
        <v>0</v>
      </c>
      <c r="P184" s="184">
        <v>0</v>
      </c>
      <c r="Q184" s="184">
        <v>0</v>
      </c>
      <c r="R184" s="184">
        <v>0</v>
      </c>
      <c r="S184" s="184">
        <v>1</v>
      </c>
      <c r="T184" s="184">
        <v>3</v>
      </c>
      <c r="U184" s="184">
        <v>2</v>
      </c>
      <c r="V184" s="184">
        <v>2</v>
      </c>
      <c r="W184" s="184">
        <v>1</v>
      </c>
      <c r="X184" s="184">
        <v>0</v>
      </c>
      <c r="Y184" s="184">
        <v>0</v>
      </c>
      <c r="Z184" s="184">
        <v>0</v>
      </c>
      <c r="AA184" s="184">
        <v>0</v>
      </c>
      <c r="AB184" s="184">
        <v>0</v>
      </c>
      <c r="AC184" s="185">
        <v>37</v>
      </c>
      <c r="AD184" s="185" t="s">
        <v>24</v>
      </c>
      <c r="AE184" s="184">
        <v>0</v>
      </c>
      <c r="AF184" s="185">
        <v>0</v>
      </c>
      <c r="AG184" s="184">
        <v>0</v>
      </c>
      <c r="AH184" s="185">
        <v>0</v>
      </c>
      <c r="AI184" s="184">
        <v>0</v>
      </c>
      <c r="AJ184" s="643">
        <v>0</v>
      </c>
    </row>
    <row r="185" spans="1:36" x14ac:dyDescent="0.2">
      <c r="A185" s="190" t="s">
        <v>108</v>
      </c>
      <c r="B185" s="642">
        <v>12</v>
      </c>
      <c r="C185" s="184">
        <v>0</v>
      </c>
      <c r="D185" s="184">
        <v>10</v>
      </c>
      <c r="E185" s="184">
        <v>1</v>
      </c>
      <c r="F185" s="184">
        <v>0</v>
      </c>
      <c r="G185" s="184">
        <v>1</v>
      </c>
      <c r="H185" s="184">
        <v>0</v>
      </c>
      <c r="I185" s="184">
        <v>0</v>
      </c>
      <c r="J185" s="184">
        <v>0</v>
      </c>
      <c r="K185" s="184">
        <v>0</v>
      </c>
      <c r="L185" s="184">
        <v>0</v>
      </c>
      <c r="M185" s="654" t="s">
        <v>24</v>
      </c>
      <c r="N185" s="669" t="s">
        <v>108</v>
      </c>
      <c r="O185" s="642">
        <v>0</v>
      </c>
      <c r="P185" s="184">
        <v>1</v>
      </c>
      <c r="Q185" s="184">
        <v>0</v>
      </c>
      <c r="R185" s="184">
        <v>0</v>
      </c>
      <c r="S185" s="184">
        <v>1</v>
      </c>
      <c r="T185" s="184">
        <v>1</v>
      </c>
      <c r="U185" s="184">
        <v>2</v>
      </c>
      <c r="V185" s="184">
        <v>5</v>
      </c>
      <c r="W185" s="184">
        <v>1</v>
      </c>
      <c r="X185" s="184">
        <v>1</v>
      </c>
      <c r="Y185" s="184">
        <v>0</v>
      </c>
      <c r="Z185" s="184">
        <v>0</v>
      </c>
      <c r="AA185" s="184">
        <v>0</v>
      </c>
      <c r="AB185" s="184">
        <v>0</v>
      </c>
      <c r="AC185" s="185">
        <v>38</v>
      </c>
      <c r="AD185" s="185">
        <v>45.7</v>
      </c>
      <c r="AE185" s="184">
        <v>0</v>
      </c>
      <c r="AF185" s="185">
        <v>0</v>
      </c>
      <c r="AG185" s="184">
        <v>0</v>
      </c>
      <c r="AH185" s="185">
        <v>0</v>
      </c>
      <c r="AI185" s="184">
        <v>0</v>
      </c>
      <c r="AJ185" s="643">
        <v>0</v>
      </c>
    </row>
    <row r="186" spans="1:36" x14ac:dyDescent="0.2">
      <c r="A186" s="190" t="s">
        <v>65</v>
      </c>
      <c r="B186" s="646">
        <v>20</v>
      </c>
      <c r="C186" s="186">
        <v>0</v>
      </c>
      <c r="D186" s="186">
        <v>16</v>
      </c>
      <c r="E186" s="186">
        <v>1</v>
      </c>
      <c r="F186" s="186">
        <v>3</v>
      </c>
      <c r="G186" s="186">
        <v>0</v>
      </c>
      <c r="H186" s="186">
        <v>0</v>
      </c>
      <c r="I186" s="186">
        <v>0</v>
      </c>
      <c r="J186" s="186">
        <v>0</v>
      </c>
      <c r="K186" s="186">
        <v>0</v>
      </c>
      <c r="L186" s="186">
        <v>0</v>
      </c>
      <c r="M186" s="656" t="s">
        <v>24</v>
      </c>
      <c r="N186" s="669" t="s">
        <v>65</v>
      </c>
      <c r="O186" s="646">
        <v>0</v>
      </c>
      <c r="P186" s="186">
        <v>0</v>
      </c>
      <c r="Q186" s="186">
        <v>0</v>
      </c>
      <c r="R186" s="186">
        <v>0</v>
      </c>
      <c r="S186" s="186">
        <v>1</v>
      </c>
      <c r="T186" s="186">
        <v>7</v>
      </c>
      <c r="U186" s="186">
        <v>4</v>
      </c>
      <c r="V186" s="186">
        <v>4</v>
      </c>
      <c r="W186" s="186">
        <v>2</v>
      </c>
      <c r="X186" s="186">
        <v>2</v>
      </c>
      <c r="Y186" s="186">
        <v>0</v>
      </c>
      <c r="Z186" s="186">
        <v>0</v>
      </c>
      <c r="AA186" s="186">
        <v>0</v>
      </c>
      <c r="AB186" s="186">
        <v>0</v>
      </c>
      <c r="AC186" s="187">
        <v>39.1</v>
      </c>
      <c r="AD186" s="187">
        <v>47.8</v>
      </c>
      <c r="AE186" s="186">
        <v>0</v>
      </c>
      <c r="AF186" s="187">
        <v>0</v>
      </c>
      <c r="AG186" s="186">
        <v>0</v>
      </c>
      <c r="AH186" s="187">
        <v>0</v>
      </c>
      <c r="AI186" s="186">
        <v>0</v>
      </c>
      <c r="AJ186" s="647">
        <v>0</v>
      </c>
    </row>
    <row r="187" spans="1:36" x14ac:dyDescent="0.2">
      <c r="A187" s="190" t="s">
        <v>109</v>
      </c>
      <c r="B187" s="642">
        <v>17</v>
      </c>
      <c r="C187" s="184">
        <v>0</v>
      </c>
      <c r="D187" s="184">
        <v>12</v>
      </c>
      <c r="E187" s="184">
        <v>0</v>
      </c>
      <c r="F187" s="184">
        <v>5</v>
      </c>
      <c r="G187" s="184">
        <v>0</v>
      </c>
      <c r="H187" s="184">
        <v>0</v>
      </c>
      <c r="I187" s="184">
        <v>0</v>
      </c>
      <c r="J187" s="184">
        <v>0</v>
      </c>
      <c r="K187" s="184">
        <v>0</v>
      </c>
      <c r="L187" s="184">
        <v>0</v>
      </c>
      <c r="M187" s="654" t="s">
        <v>24</v>
      </c>
      <c r="N187" s="669" t="s">
        <v>109</v>
      </c>
      <c r="O187" s="642">
        <v>0</v>
      </c>
      <c r="P187" s="184">
        <v>0</v>
      </c>
      <c r="Q187" s="184">
        <v>0</v>
      </c>
      <c r="R187" s="184">
        <v>1</v>
      </c>
      <c r="S187" s="184">
        <v>2</v>
      </c>
      <c r="T187" s="184">
        <v>3</v>
      </c>
      <c r="U187" s="184">
        <v>5</v>
      </c>
      <c r="V187" s="184">
        <v>6</v>
      </c>
      <c r="W187" s="184">
        <v>0</v>
      </c>
      <c r="X187" s="184">
        <v>0</v>
      </c>
      <c r="Y187" s="184">
        <v>0</v>
      </c>
      <c r="Z187" s="184">
        <v>0</v>
      </c>
      <c r="AA187" s="184">
        <v>0</v>
      </c>
      <c r="AB187" s="184">
        <v>0</v>
      </c>
      <c r="AC187" s="185">
        <v>36.700000000000003</v>
      </c>
      <c r="AD187" s="185">
        <v>42.5</v>
      </c>
      <c r="AE187" s="184">
        <v>0</v>
      </c>
      <c r="AF187" s="185">
        <v>0</v>
      </c>
      <c r="AG187" s="184">
        <v>0</v>
      </c>
      <c r="AH187" s="185">
        <v>0</v>
      </c>
      <c r="AI187" s="184">
        <v>0</v>
      </c>
      <c r="AJ187" s="643">
        <v>0</v>
      </c>
    </row>
    <row r="188" spans="1:36" x14ac:dyDescent="0.2">
      <c r="A188" s="190" t="s">
        <v>110</v>
      </c>
      <c r="B188" s="642">
        <v>12</v>
      </c>
      <c r="C188" s="184">
        <v>0</v>
      </c>
      <c r="D188" s="184">
        <v>11</v>
      </c>
      <c r="E188" s="184">
        <v>0</v>
      </c>
      <c r="F188" s="184">
        <v>1</v>
      </c>
      <c r="G188" s="184">
        <v>0</v>
      </c>
      <c r="H188" s="184">
        <v>0</v>
      </c>
      <c r="I188" s="184">
        <v>0</v>
      </c>
      <c r="J188" s="184">
        <v>0</v>
      </c>
      <c r="K188" s="184">
        <v>0</v>
      </c>
      <c r="L188" s="184">
        <v>0</v>
      </c>
      <c r="M188" s="654" t="s">
        <v>24</v>
      </c>
      <c r="N188" s="669" t="s">
        <v>110</v>
      </c>
      <c r="O188" s="642">
        <v>0</v>
      </c>
      <c r="P188" s="184">
        <v>0</v>
      </c>
      <c r="Q188" s="184">
        <v>0</v>
      </c>
      <c r="R188" s="184">
        <v>0</v>
      </c>
      <c r="S188" s="184">
        <v>1</v>
      </c>
      <c r="T188" s="184">
        <v>1</v>
      </c>
      <c r="U188" s="184">
        <v>2</v>
      </c>
      <c r="V188" s="184">
        <v>4</v>
      </c>
      <c r="W188" s="184">
        <v>2</v>
      </c>
      <c r="X188" s="184">
        <v>1</v>
      </c>
      <c r="Y188" s="184">
        <v>1</v>
      </c>
      <c r="Z188" s="184">
        <v>0</v>
      </c>
      <c r="AA188" s="184">
        <v>0</v>
      </c>
      <c r="AB188" s="184">
        <v>0</v>
      </c>
      <c r="AC188" s="185">
        <v>43.5</v>
      </c>
      <c r="AD188" s="185">
        <v>57.1</v>
      </c>
      <c r="AE188" s="184">
        <v>1</v>
      </c>
      <c r="AF188" s="185">
        <v>8.3333333333333321</v>
      </c>
      <c r="AG188" s="184">
        <v>0</v>
      </c>
      <c r="AH188" s="185">
        <v>0</v>
      </c>
      <c r="AI188" s="184">
        <v>0</v>
      </c>
      <c r="AJ188" s="643">
        <v>0</v>
      </c>
    </row>
    <row r="189" spans="1:36" x14ac:dyDescent="0.2">
      <c r="A189" s="190" t="s">
        <v>111</v>
      </c>
      <c r="B189" s="642">
        <v>17</v>
      </c>
      <c r="C189" s="184">
        <v>1</v>
      </c>
      <c r="D189" s="184">
        <v>14</v>
      </c>
      <c r="E189" s="184">
        <v>0</v>
      </c>
      <c r="F189" s="184">
        <v>2</v>
      </c>
      <c r="G189" s="184">
        <v>0</v>
      </c>
      <c r="H189" s="184">
        <v>0</v>
      </c>
      <c r="I189" s="184">
        <v>0</v>
      </c>
      <c r="J189" s="184">
        <v>0</v>
      </c>
      <c r="K189" s="184">
        <v>0</v>
      </c>
      <c r="L189" s="184">
        <v>0</v>
      </c>
      <c r="M189" s="654" t="s">
        <v>24</v>
      </c>
      <c r="N189" s="669" t="s">
        <v>111</v>
      </c>
      <c r="O189" s="642">
        <v>0</v>
      </c>
      <c r="P189" s="184">
        <v>0</v>
      </c>
      <c r="Q189" s="184">
        <v>0</v>
      </c>
      <c r="R189" s="184">
        <v>1</v>
      </c>
      <c r="S189" s="184">
        <v>0</v>
      </c>
      <c r="T189" s="184">
        <v>3</v>
      </c>
      <c r="U189" s="184">
        <v>4</v>
      </c>
      <c r="V189" s="184">
        <v>2</v>
      </c>
      <c r="W189" s="184">
        <v>7</v>
      </c>
      <c r="X189" s="184">
        <v>0</v>
      </c>
      <c r="Y189" s="184">
        <v>0</v>
      </c>
      <c r="Z189" s="184">
        <v>0</v>
      </c>
      <c r="AA189" s="184">
        <v>0</v>
      </c>
      <c r="AB189" s="184">
        <v>0</v>
      </c>
      <c r="AC189" s="185">
        <v>40.799999999999997</v>
      </c>
      <c r="AD189" s="185">
        <v>49.4</v>
      </c>
      <c r="AE189" s="184">
        <v>0</v>
      </c>
      <c r="AF189" s="185">
        <v>0</v>
      </c>
      <c r="AG189" s="184">
        <v>0</v>
      </c>
      <c r="AH189" s="185">
        <v>0</v>
      </c>
      <c r="AI189" s="184">
        <v>0</v>
      </c>
      <c r="AJ189" s="643">
        <v>0</v>
      </c>
    </row>
    <row r="190" spans="1:36" x14ac:dyDescent="0.2">
      <c r="A190" s="190" t="s">
        <v>67</v>
      </c>
      <c r="B190" s="642">
        <v>18</v>
      </c>
      <c r="C190" s="184">
        <v>1</v>
      </c>
      <c r="D190" s="184">
        <v>16</v>
      </c>
      <c r="E190" s="184">
        <v>0</v>
      </c>
      <c r="F190" s="184">
        <v>1</v>
      </c>
      <c r="G190" s="184">
        <v>0</v>
      </c>
      <c r="H190" s="184">
        <v>0</v>
      </c>
      <c r="I190" s="184">
        <v>0</v>
      </c>
      <c r="J190" s="184">
        <v>0</v>
      </c>
      <c r="K190" s="184">
        <v>0</v>
      </c>
      <c r="L190" s="184">
        <v>0</v>
      </c>
      <c r="M190" s="654" t="s">
        <v>24</v>
      </c>
      <c r="N190" s="669" t="s">
        <v>67</v>
      </c>
      <c r="O190" s="642">
        <v>0</v>
      </c>
      <c r="P190" s="184">
        <v>0</v>
      </c>
      <c r="Q190" s="184">
        <v>0</v>
      </c>
      <c r="R190" s="184">
        <v>0</v>
      </c>
      <c r="S190" s="184">
        <v>0</v>
      </c>
      <c r="T190" s="184">
        <v>0</v>
      </c>
      <c r="U190" s="184">
        <v>1</v>
      </c>
      <c r="V190" s="184">
        <v>8</v>
      </c>
      <c r="W190" s="184">
        <v>4</v>
      </c>
      <c r="X190" s="184">
        <v>3</v>
      </c>
      <c r="Y190" s="184">
        <v>1</v>
      </c>
      <c r="Z190" s="184">
        <v>1</v>
      </c>
      <c r="AA190" s="184">
        <v>0</v>
      </c>
      <c r="AB190" s="184">
        <v>0</v>
      </c>
      <c r="AC190" s="185">
        <v>48.2</v>
      </c>
      <c r="AD190" s="185">
        <v>59.9</v>
      </c>
      <c r="AE190" s="184">
        <v>2</v>
      </c>
      <c r="AF190" s="185">
        <v>11.111111111111111</v>
      </c>
      <c r="AG190" s="184">
        <v>1</v>
      </c>
      <c r="AH190" s="185">
        <v>5.5555555555555554</v>
      </c>
      <c r="AI190" s="184">
        <v>1</v>
      </c>
      <c r="AJ190" s="643">
        <v>5.5555555555555554</v>
      </c>
    </row>
    <row r="191" spans="1:36" x14ac:dyDescent="0.2">
      <c r="A191" s="190" t="s">
        <v>112</v>
      </c>
      <c r="B191" s="642">
        <v>33</v>
      </c>
      <c r="C191" s="184">
        <v>0</v>
      </c>
      <c r="D191" s="184">
        <v>30</v>
      </c>
      <c r="E191" s="184">
        <v>0</v>
      </c>
      <c r="F191" s="184">
        <v>3</v>
      </c>
      <c r="G191" s="184">
        <v>0</v>
      </c>
      <c r="H191" s="184">
        <v>0</v>
      </c>
      <c r="I191" s="184">
        <v>0</v>
      </c>
      <c r="J191" s="184">
        <v>0</v>
      </c>
      <c r="K191" s="184">
        <v>0</v>
      </c>
      <c r="L191" s="184">
        <v>0</v>
      </c>
      <c r="M191" s="654" t="s">
        <v>24</v>
      </c>
      <c r="N191" s="669" t="s">
        <v>112</v>
      </c>
      <c r="O191" s="642">
        <v>0</v>
      </c>
      <c r="P191" s="184">
        <v>0</v>
      </c>
      <c r="Q191" s="184">
        <v>0</v>
      </c>
      <c r="R191" s="184">
        <v>1</v>
      </c>
      <c r="S191" s="184">
        <v>2</v>
      </c>
      <c r="T191" s="184">
        <v>2</v>
      </c>
      <c r="U191" s="184">
        <v>5</v>
      </c>
      <c r="V191" s="184">
        <v>7</v>
      </c>
      <c r="W191" s="184">
        <v>11</v>
      </c>
      <c r="X191" s="184">
        <v>5</v>
      </c>
      <c r="Y191" s="184">
        <v>0</v>
      </c>
      <c r="Z191" s="184">
        <v>0</v>
      </c>
      <c r="AA191" s="184">
        <v>0</v>
      </c>
      <c r="AB191" s="184">
        <v>0</v>
      </c>
      <c r="AC191" s="185">
        <v>42.7</v>
      </c>
      <c r="AD191" s="185">
        <v>50.3</v>
      </c>
      <c r="AE191" s="184">
        <v>0</v>
      </c>
      <c r="AF191" s="185">
        <v>0</v>
      </c>
      <c r="AG191" s="184">
        <v>0</v>
      </c>
      <c r="AH191" s="185">
        <v>0</v>
      </c>
      <c r="AI191" s="184">
        <v>0</v>
      </c>
      <c r="AJ191" s="643">
        <v>0</v>
      </c>
    </row>
    <row r="192" spans="1:36" x14ac:dyDescent="0.2">
      <c r="A192" s="190" t="s">
        <v>113</v>
      </c>
      <c r="B192" s="642">
        <v>25</v>
      </c>
      <c r="C192" s="184">
        <v>1</v>
      </c>
      <c r="D192" s="184">
        <v>23</v>
      </c>
      <c r="E192" s="184">
        <v>1</v>
      </c>
      <c r="F192" s="184">
        <v>0</v>
      </c>
      <c r="G192" s="184">
        <v>0</v>
      </c>
      <c r="H192" s="184">
        <v>0</v>
      </c>
      <c r="I192" s="184">
        <v>0</v>
      </c>
      <c r="J192" s="184">
        <v>0</v>
      </c>
      <c r="K192" s="184">
        <v>0</v>
      </c>
      <c r="L192" s="184">
        <v>0</v>
      </c>
      <c r="M192" s="654" t="s">
        <v>24</v>
      </c>
      <c r="N192" s="669" t="s">
        <v>113</v>
      </c>
      <c r="O192" s="642">
        <v>0</v>
      </c>
      <c r="P192" s="184">
        <v>0</v>
      </c>
      <c r="Q192" s="184">
        <v>0</v>
      </c>
      <c r="R192" s="184">
        <v>0</v>
      </c>
      <c r="S192" s="184">
        <v>1</v>
      </c>
      <c r="T192" s="184">
        <v>0</v>
      </c>
      <c r="U192" s="184">
        <v>2</v>
      </c>
      <c r="V192" s="184">
        <v>9</v>
      </c>
      <c r="W192" s="184">
        <v>10</v>
      </c>
      <c r="X192" s="184">
        <v>2</v>
      </c>
      <c r="Y192" s="184">
        <v>1</v>
      </c>
      <c r="Z192" s="184">
        <v>0</v>
      </c>
      <c r="AA192" s="184">
        <v>0</v>
      </c>
      <c r="AB192" s="184">
        <v>0</v>
      </c>
      <c r="AC192" s="185">
        <v>44.7</v>
      </c>
      <c r="AD192" s="185">
        <v>50.1</v>
      </c>
      <c r="AE192" s="184">
        <v>1</v>
      </c>
      <c r="AF192" s="185">
        <v>4</v>
      </c>
      <c r="AG192" s="184">
        <v>0</v>
      </c>
      <c r="AH192" s="185">
        <v>0</v>
      </c>
      <c r="AI192" s="184">
        <v>0</v>
      </c>
      <c r="AJ192" s="643">
        <v>0</v>
      </c>
    </row>
    <row r="193" spans="1:36" x14ac:dyDescent="0.2">
      <c r="A193" s="190" t="s">
        <v>114</v>
      </c>
      <c r="B193" s="642">
        <v>25</v>
      </c>
      <c r="C193" s="184">
        <v>2</v>
      </c>
      <c r="D193" s="184">
        <v>22</v>
      </c>
      <c r="E193" s="184">
        <v>0</v>
      </c>
      <c r="F193" s="184">
        <v>1</v>
      </c>
      <c r="G193" s="184">
        <v>0</v>
      </c>
      <c r="H193" s="184">
        <v>0</v>
      </c>
      <c r="I193" s="184">
        <v>0</v>
      </c>
      <c r="J193" s="184">
        <v>0</v>
      </c>
      <c r="K193" s="184">
        <v>0</v>
      </c>
      <c r="L193" s="184">
        <v>0</v>
      </c>
      <c r="M193" s="654" t="s">
        <v>24</v>
      </c>
      <c r="N193" s="669" t="s">
        <v>114</v>
      </c>
      <c r="O193" s="642">
        <v>0</v>
      </c>
      <c r="P193" s="184">
        <v>0</v>
      </c>
      <c r="Q193" s="184">
        <v>0</v>
      </c>
      <c r="R193" s="184">
        <v>1</v>
      </c>
      <c r="S193" s="184">
        <v>3</v>
      </c>
      <c r="T193" s="184">
        <v>0</v>
      </c>
      <c r="U193" s="184">
        <v>6</v>
      </c>
      <c r="V193" s="184">
        <v>5</v>
      </c>
      <c r="W193" s="184">
        <v>2</v>
      </c>
      <c r="X193" s="184">
        <v>7</v>
      </c>
      <c r="Y193" s="184">
        <v>1</v>
      </c>
      <c r="Z193" s="184">
        <v>0</v>
      </c>
      <c r="AA193" s="184">
        <v>0</v>
      </c>
      <c r="AB193" s="184">
        <v>0</v>
      </c>
      <c r="AC193" s="185">
        <v>42.9</v>
      </c>
      <c r="AD193" s="185">
        <v>54.8</v>
      </c>
      <c r="AE193" s="184">
        <v>1</v>
      </c>
      <c r="AF193" s="185">
        <v>4</v>
      </c>
      <c r="AG193" s="184">
        <v>0</v>
      </c>
      <c r="AH193" s="185">
        <v>0</v>
      </c>
      <c r="AI193" s="184">
        <v>0</v>
      </c>
      <c r="AJ193" s="643">
        <v>0</v>
      </c>
    </row>
    <row r="194" spans="1:36" x14ac:dyDescent="0.2">
      <c r="A194" s="190" t="s">
        <v>69</v>
      </c>
      <c r="B194" s="646">
        <v>21</v>
      </c>
      <c r="C194" s="186">
        <v>0</v>
      </c>
      <c r="D194" s="186">
        <v>19</v>
      </c>
      <c r="E194" s="186">
        <v>0</v>
      </c>
      <c r="F194" s="186">
        <v>2</v>
      </c>
      <c r="G194" s="186">
        <v>0</v>
      </c>
      <c r="H194" s="186">
        <v>0</v>
      </c>
      <c r="I194" s="186">
        <v>0</v>
      </c>
      <c r="J194" s="186">
        <v>0</v>
      </c>
      <c r="K194" s="186">
        <v>0</v>
      </c>
      <c r="L194" s="186">
        <v>0</v>
      </c>
      <c r="M194" s="656" t="s">
        <v>24</v>
      </c>
      <c r="N194" s="669" t="s">
        <v>69</v>
      </c>
      <c r="O194" s="646">
        <v>0</v>
      </c>
      <c r="P194" s="186">
        <v>0</v>
      </c>
      <c r="Q194" s="186">
        <v>0</v>
      </c>
      <c r="R194" s="186">
        <v>0</v>
      </c>
      <c r="S194" s="186">
        <v>0</v>
      </c>
      <c r="T194" s="186">
        <v>2</v>
      </c>
      <c r="U194" s="186">
        <v>2</v>
      </c>
      <c r="V194" s="186">
        <v>6</v>
      </c>
      <c r="W194" s="186">
        <v>7</v>
      </c>
      <c r="X194" s="186">
        <v>4</v>
      </c>
      <c r="Y194" s="186">
        <v>0</v>
      </c>
      <c r="Z194" s="186">
        <v>0</v>
      </c>
      <c r="AA194" s="186">
        <v>0</v>
      </c>
      <c r="AB194" s="186">
        <v>0</v>
      </c>
      <c r="AC194" s="187">
        <v>44.8</v>
      </c>
      <c r="AD194" s="187">
        <v>51</v>
      </c>
      <c r="AE194" s="186">
        <v>0</v>
      </c>
      <c r="AF194" s="187">
        <v>0</v>
      </c>
      <c r="AG194" s="186">
        <v>0</v>
      </c>
      <c r="AH194" s="187">
        <v>0</v>
      </c>
      <c r="AI194" s="186">
        <v>0</v>
      </c>
      <c r="AJ194" s="647">
        <v>0</v>
      </c>
    </row>
    <row r="195" spans="1:36" x14ac:dyDescent="0.2">
      <c r="A195" s="190" t="s">
        <v>115</v>
      </c>
      <c r="B195" s="642">
        <v>10</v>
      </c>
      <c r="C195" s="184">
        <v>0</v>
      </c>
      <c r="D195" s="184">
        <v>10</v>
      </c>
      <c r="E195" s="184">
        <v>0</v>
      </c>
      <c r="F195" s="184">
        <v>0</v>
      </c>
      <c r="G195" s="184">
        <v>0</v>
      </c>
      <c r="H195" s="184">
        <v>0</v>
      </c>
      <c r="I195" s="184">
        <v>0</v>
      </c>
      <c r="J195" s="184">
        <v>0</v>
      </c>
      <c r="K195" s="184">
        <v>0</v>
      </c>
      <c r="L195" s="184">
        <v>0</v>
      </c>
      <c r="M195" s="654" t="s">
        <v>24</v>
      </c>
      <c r="N195" s="669" t="s">
        <v>115</v>
      </c>
      <c r="O195" s="642">
        <v>0</v>
      </c>
      <c r="P195" s="184">
        <v>0</v>
      </c>
      <c r="Q195" s="184">
        <v>0</v>
      </c>
      <c r="R195" s="184">
        <v>0</v>
      </c>
      <c r="S195" s="184">
        <v>1</v>
      </c>
      <c r="T195" s="184">
        <v>1</v>
      </c>
      <c r="U195" s="184">
        <v>3</v>
      </c>
      <c r="V195" s="184">
        <v>4</v>
      </c>
      <c r="W195" s="184">
        <v>1</v>
      </c>
      <c r="X195" s="184">
        <v>0</v>
      </c>
      <c r="Y195" s="184">
        <v>0</v>
      </c>
      <c r="Z195" s="184">
        <v>0</v>
      </c>
      <c r="AA195" s="184">
        <v>0</v>
      </c>
      <c r="AB195" s="184">
        <v>0</v>
      </c>
      <c r="AC195" s="185">
        <v>39.9</v>
      </c>
      <c r="AD195" s="185" t="s">
        <v>24</v>
      </c>
      <c r="AE195" s="184">
        <v>0</v>
      </c>
      <c r="AF195" s="185">
        <v>0</v>
      </c>
      <c r="AG195" s="184">
        <v>0</v>
      </c>
      <c r="AH195" s="185">
        <v>0</v>
      </c>
      <c r="AI195" s="184">
        <v>0</v>
      </c>
      <c r="AJ195" s="643">
        <v>0</v>
      </c>
    </row>
    <row r="196" spans="1:36" x14ac:dyDescent="0.2">
      <c r="A196" s="190" t="s">
        <v>116</v>
      </c>
      <c r="B196" s="642">
        <v>17</v>
      </c>
      <c r="C196" s="184">
        <v>0</v>
      </c>
      <c r="D196" s="184">
        <v>17</v>
      </c>
      <c r="E196" s="184">
        <v>0</v>
      </c>
      <c r="F196" s="184">
        <v>0</v>
      </c>
      <c r="G196" s="184">
        <v>0</v>
      </c>
      <c r="H196" s="184">
        <v>0</v>
      </c>
      <c r="I196" s="184">
        <v>0</v>
      </c>
      <c r="J196" s="184">
        <v>0</v>
      </c>
      <c r="K196" s="184">
        <v>0</v>
      </c>
      <c r="L196" s="184">
        <v>0</v>
      </c>
      <c r="M196" s="654" t="s">
        <v>24</v>
      </c>
      <c r="N196" s="669" t="s">
        <v>116</v>
      </c>
      <c r="O196" s="642">
        <v>0</v>
      </c>
      <c r="P196" s="184">
        <v>0</v>
      </c>
      <c r="Q196" s="184">
        <v>0</v>
      </c>
      <c r="R196" s="184">
        <v>0</v>
      </c>
      <c r="S196" s="184">
        <v>0</v>
      </c>
      <c r="T196" s="184">
        <v>2</v>
      </c>
      <c r="U196" s="184">
        <v>2</v>
      </c>
      <c r="V196" s="184">
        <v>3</v>
      </c>
      <c r="W196" s="184">
        <v>7</v>
      </c>
      <c r="X196" s="184">
        <v>3</v>
      </c>
      <c r="Y196" s="184">
        <v>0</v>
      </c>
      <c r="Z196" s="184">
        <v>0</v>
      </c>
      <c r="AA196" s="184">
        <v>0</v>
      </c>
      <c r="AB196" s="184">
        <v>0</v>
      </c>
      <c r="AC196" s="185">
        <v>45.1</v>
      </c>
      <c r="AD196" s="185">
        <v>53.2</v>
      </c>
      <c r="AE196" s="184">
        <v>0</v>
      </c>
      <c r="AF196" s="185">
        <v>0</v>
      </c>
      <c r="AG196" s="184">
        <v>0</v>
      </c>
      <c r="AH196" s="185">
        <v>0</v>
      </c>
      <c r="AI196" s="184">
        <v>0</v>
      </c>
      <c r="AJ196" s="643">
        <v>0</v>
      </c>
    </row>
    <row r="197" spans="1:36" ht="13.5" thickBot="1" x14ac:dyDescent="0.25">
      <c r="A197" s="190" t="s">
        <v>117</v>
      </c>
      <c r="B197" s="644">
        <v>8</v>
      </c>
      <c r="C197" s="188">
        <v>1</v>
      </c>
      <c r="D197" s="188">
        <v>6</v>
      </c>
      <c r="E197" s="188">
        <v>0</v>
      </c>
      <c r="F197" s="188">
        <v>1</v>
      </c>
      <c r="G197" s="188">
        <v>0</v>
      </c>
      <c r="H197" s="188">
        <v>0</v>
      </c>
      <c r="I197" s="188">
        <v>0</v>
      </c>
      <c r="J197" s="188">
        <v>0</v>
      </c>
      <c r="K197" s="188">
        <v>0</v>
      </c>
      <c r="L197" s="188">
        <v>0</v>
      </c>
      <c r="M197" s="655" t="s">
        <v>24</v>
      </c>
      <c r="N197" s="669" t="s">
        <v>117</v>
      </c>
      <c r="O197" s="644">
        <v>0</v>
      </c>
      <c r="P197" s="188">
        <v>0</v>
      </c>
      <c r="Q197" s="188">
        <v>0</v>
      </c>
      <c r="R197" s="188">
        <v>0</v>
      </c>
      <c r="S197" s="188">
        <v>2</v>
      </c>
      <c r="T197" s="188">
        <v>1</v>
      </c>
      <c r="U197" s="188">
        <v>1</v>
      </c>
      <c r="V197" s="188">
        <v>1</v>
      </c>
      <c r="W197" s="188">
        <v>2</v>
      </c>
      <c r="X197" s="188">
        <v>1</v>
      </c>
      <c r="Y197" s="188">
        <v>0</v>
      </c>
      <c r="Z197" s="188">
        <v>0</v>
      </c>
      <c r="AA197" s="188">
        <v>0</v>
      </c>
      <c r="AB197" s="188">
        <v>0</v>
      </c>
      <c r="AC197" s="189">
        <v>38.700000000000003</v>
      </c>
      <c r="AD197" s="189" t="s">
        <v>24</v>
      </c>
      <c r="AE197" s="188">
        <v>0</v>
      </c>
      <c r="AF197" s="189">
        <v>0</v>
      </c>
      <c r="AG197" s="188">
        <v>0</v>
      </c>
      <c r="AH197" s="189">
        <v>0</v>
      </c>
      <c r="AI197" s="188">
        <v>0</v>
      </c>
      <c r="AJ197" s="645">
        <v>0</v>
      </c>
    </row>
    <row r="198" spans="1:36" x14ac:dyDescent="0.2">
      <c r="A198" s="190" t="s">
        <v>71</v>
      </c>
      <c r="B198" s="642">
        <v>12</v>
      </c>
      <c r="C198" s="184">
        <v>2</v>
      </c>
      <c r="D198" s="184">
        <v>10</v>
      </c>
      <c r="E198" s="184">
        <v>0</v>
      </c>
      <c r="F198" s="184">
        <v>0</v>
      </c>
      <c r="G198" s="184">
        <v>0</v>
      </c>
      <c r="H198" s="184">
        <v>0</v>
      </c>
      <c r="I198" s="184">
        <v>0</v>
      </c>
      <c r="J198" s="184">
        <v>0</v>
      </c>
      <c r="K198" s="184">
        <v>0</v>
      </c>
      <c r="L198" s="184">
        <v>0</v>
      </c>
      <c r="M198" s="654" t="s">
        <v>24</v>
      </c>
      <c r="N198" s="669" t="s">
        <v>71</v>
      </c>
      <c r="O198" s="642">
        <v>0</v>
      </c>
      <c r="P198" s="184">
        <v>0</v>
      </c>
      <c r="Q198" s="184">
        <v>0</v>
      </c>
      <c r="R198" s="184">
        <v>1</v>
      </c>
      <c r="S198" s="184">
        <v>0</v>
      </c>
      <c r="T198" s="184">
        <v>1</v>
      </c>
      <c r="U198" s="184">
        <v>2</v>
      </c>
      <c r="V198" s="184">
        <v>4</v>
      </c>
      <c r="W198" s="184">
        <v>2</v>
      </c>
      <c r="X198" s="184">
        <v>2</v>
      </c>
      <c r="Y198" s="184">
        <v>0</v>
      </c>
      <c r="Z198" s="184">
        <v>0</v>
      </c>
      <c r="AA198" s="184">
        <v>0</v>
      </c>
      <c r="AB198" s="184">
        <v>0</v>
      </c>
      <c r="AC198" s="185">
        <v>42.7</v>
      </c>
      <c r="AD198" s="185">
        <v>53.5</v>
      </c>
      <c r="AE198" s="184">
        <v>0</v>
      </c>
      <c r="AF198" s="185">
        <v>0</v>
      </c>
      <c r="AG198" s="184">
        <v>0</v>
      </c>
      <c r="AH198" s="185">
        <v>0</v>
      </c>
      <c r="AI198" s="184">
        <v>0</v>
      </c>
      <c r="AJ198" s="643">
        <v>0</v>
      </c>
    </row>
    <row r="199" spans="1:36" x14ac:dyDescent="0.2">
      <c r="A199" s="190" t="s">
        <v>118</v>
      </c>
      <c r="B199" s="642">
        <v>14</v>
      </c>
      <c r="C199" s="184">
        <v>0</v>
      </c>
      <c r="D199" s="184">
        <v>14</v>
      </c>
      <c r="E199" s="184">
        <v>0</v>
      </c>
      <c r="F199" s="184">
        <v>0</v>
      </c>
      <c r="G199" s="184">
        <v>0</v>
      </c>
      <c r="H199" s="184">
        <v>0</v>
      </c>
      <c r="I199" s="184">
        <v>0</v>
      </c>
      <c r="J199" s="184">
        <v>0</v>
      </c>
      <c r="K199" s="184">
        <v>0</v>
      </c>
      <c r="L199" s="184">
        <v>0</v>
      </c>
      <c r="M199" s="654" t="s">
        <v>24</v>
      </c>
      <c r="N199" s="669" t="s">
        <v>118</v>
      </c>
      <c r="O199" s="642">
        <v>0</v>
      </c>
      <c r="P199" s="184">
        <v>0</v>
      </c>
      <c r="Q199" s="184">
        <v>0</v>
      </c>
      <c r="R199" s="184">
        <v>0</v>
      </c>
      <c r="S199" s="184">
        <v>0</v>
      </c>
      <c r="T199" s="184">
        <v>0</v>
      </c>
      <c r="U199" s="184">
        <v>2</v>
      </c>
      <c r="V199" s="184">
        <v>3</v>
      </c>
      <c r="W199" s="184">
        <v>5</v>
      </c>
      <c r="X199" s="184">
        <v>4</v>
      </c>
      <c r="Y199" s="184">
        <v>0</v>
      </c>
      <c r="Z199" s="184">
        <v>0</v>
      </c>
      <c r="AA199" s="184">
        <v>0</v>
      </c>
      <c r="AB199" s="184">
        <v>0</v>
      </c>
      <c r="AC199" s="185">
        <v>46.7</v>
      </c>
      <c r="AD199" s="185">
        <v>53.6</v>
      </c>
      <c r="AE199" s="184">
        <v>0</v>
      </c>
      <c r="AF199" s="185">
        <v>0</v>
      </c>
      <c r="AG199" s="184">
        <v>0</v>
      </c>
      <c r="AH199" s="185">
        <v>0</v>
      </c>
      <c r="AI199" s="184">
        <v>0</v>
      </c>
      <c r="AJ199" s="643">
        <v>0</v>
      </c>
    </row>
    <row r="200" spans="1:36" x14ac:dyDescent="0.2">
      <c r="A200" s="190" t="s">
        <v>119</v>
      </c>
      <c r="B200" s="642">
        <v>14</v>
      </c>
      <c r="C200" s="184">
        <v>0</v>
      </c>
      <c r="D200" s="184">
        <v>13</v>
      </c>
      <c r="E200" s="184">
        <v>0</v>
      </c>
      <c r="F200" s="184">
        <v>1</v>
      </c>
      <c r="G200" s="184">
        <v>0</v>
      </c>
      <c r="H200" s="184">
        <v>0</v>
      </c>
      <c r="I200" s="184">
        <v>0</v>
      </c>
      <c r="J200" s="184">
        <v>0</v>
      </c>
      <c r="K200" s="184">
        <v>0</v>
      </c>
      <c r="L200" s="184">
        <v>0</v>
      </c>
      <c r="M200" s="654" t="s">
        <v>24</v>
      </c>
      <c r="N200" s="669" t="s">
        <v>119</v>
      </c>
      <c r="O200" s="642">
        <v>0</v>
      </c>
      <c r="P200" s="184">
        <v>0</v>
      </c>
      <c r="Q200" s="184">
        <v>0</v>
      </c>
      <c r="R200" s="184">
        <v>0</v>
      </c>
      <c r="S200" s="184">
        <v>0</v>
      </c>
      <c r="T200" s="184">
        <v>2</v>
      </c>
      <c r="U200" s="184">
        <v>1</v>
      </c>
      <c r="V200" s="184">
        <v>3</v>
      </c>
      <c r="W200" s="184">
        <v>3</v>
      </c>
      <c r="X200" s="184">
        <v>4</v>
      </c>
      <c r="Y200" s="184">
        <v>1</v>
      </c>
      <c r="Z200" s="184">
        <v>0</v>
      </c>
      <c r="AA200" s="184">
        <v>0</v>
      </c>
      <c r="AB200" s="184">
        <v>0</v>
      </c>
      <c r="AC200" s="185">
        <v>46.6</v>
      </c>
      <c r="AD200" s="185">
        <v>57.3</v>
      </c>
      <c r="AE200" s="184">
        <v>1</v>
      </c>
      <c r="AF200" s="185">
        <v>7.1428571428571423</v>
      </c>
      <c r="AG200" s="184">
        <v>0</v>
      </c>
      <c r="AH200" s="185">
        <v>0</v>
      </c>
      <c r="AI200" s="184">
        <v>0</v>
      </c>
      <c r="AJ200" s="643">
        <v>0</v>
      </c>
    </row>
    <row r="201" spans="1:36" x14ac:dyDescent="0.2">
      <c r="A201" s="190" t="s">
        <v>120</v>
      </c>
      <c r="B201" s="642">
        <v>8</v>
      </c>
      <c r="C201" s="184">
        <v>0</v>
      </c>
      <c r="D201" s="184">
        <v>6</v>
      </c>
      <c r="E201" s="184">
        <v>0</v>
      </c>
      <c r="F201" s="184">
        <v>2</v>
      </c>
      <c r="G201" s="184">
        <v>0</v>
      </c>
      <c r="H201" s="184">
        <v>0</v>
      </c>
      <c r="I201" s="184">
        <v>0</v>
      </c>
      <c r="J201" s="184">
        <v>0</v>
      </c>
      <c r="K201" s="184">
        <v>0</v>
      </c>
      <c r="L201" s="184">
        <v>0</v>
      </c>
      <c r="M201" s="654" t="s">
        <v>24</v>
      </c>
      <c r="N201" s="669" t="s">
        <v>120</v>
      </c>
      <c r="O201" s="642">
        <v>0</v>
      </c>
      <c r="P201" s="184">
        <v>0</v>
      </c>
      <c r="Q201" s="184">
        <v>0</v>
      </c>
      <c r="R201" s="184">
        <v>0</v>
      </c>
      <c r="S201" s="184">
        <v>0</v>
      </c>
      <c r="T201" s="184">
        <v>0</v>
      </c>
      <c r="U201" s="184">
        <v>3</v>
      </c>
      <c r="V201" s="184">
        <v>3</v>
      </c>
      <c r="W201" s="184">
        <v>2</v>
      </c>
      <c r="X201" s="184">
        <v>0</v>
      </c>
      <c r="Y201" s="184">
        <v>0</v>
      </c>
      <c r="Z201" s="184">
        <v>0</v>
      </c>
      <c r="AA201" s="184">
        <v>0</v>
      </c>
      <c r="AB201" s="184">
        <v>0</v>
      </c>
      <c r="AC201" s="185">
        <v>43</v>
      </c>
      <c r="AD201" s="185" t="s">
        <v>24</v>
      </c>
      <c r="AE201" s="184">
        <v>0</v>
      </c>
      <c r="AF201" s="185">
        <v>0</v>
      </c>
      <c r="AG201" s="184">
        <v>0</v>
      </c>
      <c r="AH201" s="185">
        <v>0</v>
      </c>
      <c r="AI201" s="184">
        <v>0</v>
      </c>
      <c r="AJ201" s="643">
        <v>0</v>
      </c>
    </row>
    <row r="202" spans="1:36" x14ac:dyDescent="0.2">
      <c r="A202" s="190" t="s">
        <v>72</v>
      </c>
      <c r="B202" s="642">
        <v>8</v>
      </c>
      <c r="C202" s="184">
        <v>1</v>
      </c>
      <c r="D202" s="184">
        <v>6</v>
      </c>
      <c r="E202" s="184">
        <v>0</v>
      </c>
      <c r="F202" s="184">
        <v>1</v>
      </c>
      <c r="G202" s="184">
        <v>0</v>
      </c>
      <c r="H202" s="184">
        <v>0</v>
      </c>
      <c r="I202" s="184">
        <v>0</v>
      </c>
      <c r="J202" s="184">
        <v>0</v>
      </c>
      <c r="K202" s="184">
        <v>0</v>
      </c>
      <c r="L202" s="184">
        <v>0</v>
      </c>
      <c r="M202" s="654" t="s">
        <v>24</v>
      </c>
      <c r="N202" s="669" t="s">
        <v>72</v>
      </c>
      <c r="O202" s="642">
        <v>0</v>
      </c>
      <c r="P202" s="184">
        <v>0</v>
      </c>
      <c r="Q202" s="184">
        <v>0</v>
      </c>
      <c r="R202" s="184">
        <v>0</v>
      </c>
      <c r="S202" s="184">
        <v>2</v>
      </c>
      <c r="T202" s="184">
        <v>1</v>
      </c>
      <c r="U202" s="184">
        <v>2</v>
      </c>
      <c r="V202" s="184">
        <v>0</v>
      </c>
      <c r="W202" s="184">
        <v>1</v>
      </c>
      <c r="X202" s="184">
        <v>1</v>
      </c>
      <c r="Y202" s="184">
        <v>1</v>
      </c>
      <c r="Z202" s="184">
        <v>0</v>
      </c>
      <c r="AA202" s="184">
        <v>0</v>
      </c>
      <c r="AB202" s="184">
        <v>0</v>
      </c>
      <c r="AC202" s="185">
        <v>39.4</v>
      </c>
      <c r="AD202" s="185" t="s">
        <v>24</v>
      </c>
      <c r="AE202" s="184">
        <v>1</v>
      </c>
      <c r="AF202" s="185">
        <v>12.5</v>
      </c>
      <c r="AG202" s="184">
        <v>0</v>
      </c>
      <c r="AH202" s="185">
        <v>0</v>
      </c>
      <c r="AI202" s="184">
        <v>0</v>
      </c>
      <c r="AJ202" s="643">
        <v>0</v>
      </c>
    </row>
    <row r="203" spans="1:36" x14ac:dyDescent="0.2">
      <c r="A203" s="190" t="s">
        <v>121</v>
      </c>
      <c r="B203" s="642">
        <v>12</v>
      </c>
      <c r="C203" s="184">
        <v>0</v>
      </c>
      <c r="D203" s="184">
        <v>10</v>
      </c>
      <c r="E203" s="184">
        <v>0</v>
      </c>
      <c r="F203" s="184">
        <v>2</v>
      </c>
      <c r="G203" s="184">
        <v>0</v>
      </c>
      <c r="H203" s="184">
        <v>0</v>
      </c>
      <c r="I203" s="184">
        <v>0</v>
      </c>
      <c r="J203" s="184">
        <v>0</v>
      </c>
      <c r="K203" s="184">
        <v>0</v>
      </c>
      <c r="L203" s="184">
        <v>0</v>
      </c>
      <c r="M203" s="654" t="s">
        <v>24</v>
      </c>
      <c r="N203" s="669" t="s">
        <v>121</v>
      </c>
      <c r="O203" s="642">
        <v>0</v>
      </c>
      <c r="P203" s="184">
        <v>0</v>
      </c>
      <c r="Q203" s="184">
        <v>0</v>
      </c>
      <c r="R203" s="184">
        <v>0</v>
      </c>
      <c r="S203" s="184">
        <v>2</v>
      </c>
      <c r="T203" s="184">
        <v>0</v>
      </c>
      <c r="U203" s="184">
        <v>0</v>
      </c>
      <c r="V203" s="184">
        <v>5</v>
      </c>
      <c r="W203" s="184">
        <v>4</v>
      </c>
      <c r="X203" s="184">
        <v>1</v>
      </c>
      <c r="Y203" s="184">
        <v>0</v>
      </c>
      <c r="Z203" s="184">
        <v>0</v>
      </c>
      <c r="AA203" s="184">
        <v>0</v>
      </c>
      <c r="AB203" s="184">
        <v>0</v>
      </c>
      <c r="AC203" s="185">
        <v>42.7</v>
      </c>
      <c r="AD203" s="185">
        <v>49.4</v>
      </c>
      <c r="AE203" s="184">
        <v>0</v>
      </c>
      <c r="AF203" s="185">
        <v>0</v>
      </c>
      <c r="AG203" s="184">
        <v>0</v>
      </c>
      <c r="AH203" s="185">
        <v>0</v>
      </c>
      <c r="AI203" s="184">
        <v>0</v>
      </c>
      <c r="AJ203" s="643">
        <v>0</v>
      </c>
    </row>
    <row r="204" spans="1:36" x14ac:dyDescent="0.2">
      <c r="A204" s="190" t="s">
        <v>122</v>
      </c>
      <c r="B204" s="642">
        <v>6</v>
      </c>
      <c r="C204" s="184">
        <v>0</v>
      </c>
      <c r="D204" s="184">
        <v>6</v>
      </c>
      <c r="E204" s="184">
        <v>0</v>
      </c>
      <c r="F204" s="184">
        <v>0</v>
      </c>
      <c r="G204" s="184">
        <v>0</v>
      </c>
      <c r="H204" s="184">
        <v>0</v>
      </c>
      <c r="I204" s="184">
        <v>0</v>
      </c>
      <c r="J204" s="184">
        <v>0</v>
      </c>
      <c r="K204" s="184">
        <v>0</v>
      </c>
      <c r="L204" s="184">
        <v>0</v>
      </c>
      <c r="M204" s="654" t="s">
        <v>24</v>
      </c>
      <c r="N204" s="669" t="s">
        <v>122</v>
      </c>
      <c r="O204" s="642">
        <v>0</v>
      </c>
      <c r="P204" s="184">
        <v>0</v>
      </c>
      <c r="Q204" s="184">
        <v>0</v>
      </c>
      <c r="R204" s="184">
        <v>0</v>
      </c>
      <c r="S204" s="184">
        <v>0</v>
      </c>
      <c r="T204" s="184">
        <v>0</v>
      </c>
      <c r="U204" s="184">
        <v>3</v>
      </c>
      <c r="V204" s="184">
        <v>1</v>
      </c>
      <c r="W204" s="184">
        <v>0</v>
      </c>
      <c r="X204" s="184">
        <v>1</v>
      </c>
      <c r="Y204" s="184">
        <v>1</v>
      </c>
      <c r="Z204" s="184">
        <v>0</v>
      </c>
      <c r="AA204" s="184">
        <v>0</v>
      </c>
      <c r="AB204" s="184">
        <v>0</v>
      </c>
      <c r="AC204" s="185">
        <v>46.4</v>
      </c>
      <c r="AD204" s="185" t="s">
        <v>24</v>
      </c>
      <c r="AE204" s="184">
        <v>1</v>
      </c>
      <c r="AF204" s="185">
        <v>16.666666666666664</v>
      </c>
      <c r="AG204" s="184">
        <v>0</v>
      </c>
      <c r="AH204" s="185">
        <v>0</v>
      </c>
      <c r="AI204" s="184">
        <v>0</v>
      </c>
      <c r="AJ204" s="643">
        <v>0</v>
      </c>
    </row>
    <row r="205" spans="1:36" x14ac:dyDescent="0.2">
      <c r="A205" s="190" t="s">
        <v>123</v>
      </c>
      <c r="B205" s="642">
        <v>10</v>
      </c>
      <c r="C205" s="184">
        <v>0</v>
      </c>
      <c r="D205" s="184">
        <v>10</v>
      </c>
      <c r="E205" s="184">
        <v>0</v>
      </c>
      <c r="F205" s="184">
        <v>0</v>
      </c>
      <c r="G205" s="184">
        <v>0</v>
      </c>
      <c r="H205" s="184">
        <v>0</v>
      </c>
      <c r="I205" s="184">
        <v>0</v>
      </c>
      <c r="J205" s="184">
        <v>0</v>
      </c>
      <c r="K205" s="184">
        <v>0</v>
      </c>
      <c r="L205" s="184">
        <v>0</v>
      </c>
      <c r="M205" s="654" t="s">
        <v>24</v>
      </c>
      <c r="N205" s="669" t="s">
        <v>123</v>
      </c>
      <c r="O205" s="642">
        <v>0</v>
      </c>
      <c r="P205" s="184">
        <v>0</v>
      </c>
      <c r="Q205" s="184">
        <v>0</v>
      </c>
      <c r="R205" s="184">
        <v>0</v>
      </c>
      <c r="S205" s="184">
        <v>0</v>
      </c>
      <c r="T205" s="184">
        <v>1</v>
      </c>
      <c r="U205" s="184">
        <v>1</v>
      </c>
      <c r="V205" s="184">
        <v>1</v>
      </c>
      <c r="W205" s="184">
        <v>3</v>
      </c>
      <c r="X205" s="184">
        <v>3</v>
      </c>
      <c r="Y205" s="184">
        <v>1</v>
      </c>
      <c r="Z205" s="184">
        <v>0</v>
      </c>
      <c r="AA205" s="184">
        <v>0</v>
      </c>
      <c r="AB205" s="184">
        <v>0</v>
      </c>
      <c r="AC205" s="185">
        <v>48.1</v>
      </c>
      <c r="AD205" s="185" t="s">
        <v>24</v>
      </c>
      <c r="AE205" s="184">
        <v>1</v>
      </c>
      <c r="AF205" s="185">
        <v>10</v>
      </c>
      <c r="AG205" s="184">
        <v>0</v>
      </c>
      <c r="AH205" s="185">
        <v>0</v>
      </c>
      <c r="AI205" s="184">
        <v>0</v>
      </c>
      <c r="AJ205" s="643">
        <v>0</v>
      </c>
    </row>
    <row r="206" spans="1:36" x14ac:dyDescent="0.2">
      <c r="A206" s="190" t="s">
        <v>74</v>
      </c>
      <c r="B206" s="642">
        <v>4</v>
      </c>
      <c r="C206" s="184">
        <v>1</v>
      </c>
      <c r="D206" s="184">
        <v>3</v>
      </c>
      <c r="E206" s="184">
        <v>0</v>
      </c>
      <c r="F206" s="184">
        <v>0</v>
      </c>
      <c r="G206" s="184">
        <v>0</v>
      </c>
      <c r="H206" s="184">
        <v>0</v>
      </c>
      <c r="I206" s="184">
        <v>0</v>
      </c>
      <c r="J206" s="184">
        <v>0</v>
      </c>
      <c r="K206" s="184">
        <v>0</v>
      </c>
      <c r="L206" s="184">
        <v>0</v>
      </c>
      <c r="M206" s="654" t="s">
        <v>24</v>
      </c>
      <c r="N206" s="669" t="s">
        <v>74</v>
      </c>
      <c r="O206" s="642">
        <v>0</v>
      </c>
      <c r="P206" s="184">
        <v>0</v>
      </c>
      <c r="Q206" s="184">
        <v>1</v>
      </c>
      <c r="R206" s="184">
        <v>0</v>
      </c>
      <c r="S206" s="184">
        <v>0</v>
      </c>
      <c r="T206" s="184">
        <v>1</v>
      </c>
      <c r="U206" s="184">
        <v>1</v>
      </c>
      <c r="V206" s="184">
        <v>0</v>
      </c>
      <c r="W206" s="184">
        <v>1</v>
      </c>
      <c r="X206" s="184">
        <v>0</v>
      </c>
      <c r="Y206" s="184">
        <v>0</v>
      </c>
      <c r="Z206" s="184">
        <v>0</v>
      </c>
      <c r="AA206" s="184">
        <v>0</v>
      </c>
      <c r="AB206" s="184">
        <v>0</v>
      </c>
      <c r="AC206" s="185">
        <v>35.4</v>
      </c>
      <c r="AD206" s="185" t="s">
        <v>24</v>
      </c>
      <c r="AE206" s="184">
        <v>0</v>
      </c>
      <c r="AF206" s="185">
        <v>0</v>
      </c>
      <c r="AG206" s="184">
        <v>0</v>
      </c>
      <c r="AH206" s="185">
        <v>0</v>
      </c>
      <c r="AI206" s="184">
        <v>0</v>
      </c>
      <c r="AJ206" s="643">
        <v>0</v>
      </c>
    </row>
    <row r="207" spans="1:36" x14ac:dyDescent="0.2">
      <c r="A207" s="190" t="s">
        <v>124</v>
      </c>
      <c r="B207" s="642">
        <v>8</v>
      </c>
      <c r="C207" s="184">
        <v>0</v>
      </c>
      <c r="D207" s="184">
        <v>8</v>
      </c>
      <c r="E207" s="184">
        <v>0</v>
      </c>
      <c r="F207" s="184">
        <v>0</v>
      </c>
      <c r="G207" s="184">
        <v>0</v>
      </c>
      <c r="H207" s="184">
        <v>0</v>
      </c>
      <c r="I207" s="184">
        <v>0</v>
      </c>
      <c r="J207" s="184">
        <v>0</v>
      </c>
      <c r="K207" s="184">
        <v>0</v>
      </c>
      <c r="L207" s="184">
        <v>0</v>
      </c>
      <c r="M207" s="654" t="s">
        <v>24</v>
      </c>
      <c r="N207" s="669" t="s">
        <v>124</v>
      </c>
      <c r="O207" s="642">
        <v>0</v>
      </c>
      <c r="P207" s="184">
        <v>0</v>
      </c>
      <c r="Q207" s="184">
        <v>0</v>
      </c>
      <c r="R207" s="184">
        <v>0</v>
      </c>
      <c r="S207" s="184">
        <v>0</v>
      </c>
      <c r="T207" s="184">
        <v>0</v>
      </c>
      <c r="U207" s="184">
        <v>3</v>
      </c>
      <c r="V207" s="184">
        <v>2</v>
      </c>
      <c r="W207" s="184">
        <v>1</v>
      </c>
      <c r="X207" s="184">
        <v>2</v>
      </c>
      <c r="Y207" s="184">
        <v>0</v>
      </c>
      <c r="Z207" s="184">
        <v>0</v>
      </c>
      <c r="AA207" s="184">
        <v>0</v>
      </c>
      <c r="AB207" s="184">
        <v>0</v>
      </c>
      <c r="AC207" s="185">
        <v>45.2</v>
      </c>
      <c r="AD207" s="185" t="s">
        <v>24</v>
      </c>
      <c r="AE207" s="184">
        <v>0</v>
      </c>
      <c r="AF207" s="185">
        <v>0</v>
      </c>
      <c r="AG207" s="184">
        <v>0</v>
      </c>
      <c r="AH207" s="185">
        <v>0</v>
      </c>
      <c r="AI207" s="184">
        <v>0</v>
      </c>
      <c r="AJ207" s="643">
        <v>0</v>
      </c>
    </row>
    <row r="208" spans="1:36" x14ac:dyDescent="0.2">
      <c r="A208" s="190" t="s">
        <v>125</v>
      </c>
      <c r="B208" s="642">
        <v>7</v>
      </c>
      <c r="C208" s="184">
        <v>0</v>
      </c>
      <c r="D208" s="184">
        <v>5</v>
      </c>
      <c r="E208" s="184">
        <v>0</v>
      </c>
      <c r="F208" s="184">
        <v>2</v>
      </c>
      <c r="G208" s="184">
        <v>0</v>
      </c>
      <c r="H208" s="184">
        <v>0</v>
      </c>
      <c r="I208" s="184">
        <v>0</v>
      </c>
      <c r="J208" s="184">
        <v>0</v>
      </c>
      <c r="K208" s="184">
        <v>0</v>
      </c>
      <c r="L208" s="184">
        <v>0</v>
      </c>
      <c r="M208" s="654" t="s">
        <v>24</v>
      </c>
      <c r="N208" s="669" t="s">
        <v>125</v>
      </c>
      <c r="O208" s="642">
        <v>0</v>
      </c>
      <c r="P208" s="184">
        <v>0</v>
      </c>
      <c r="Q208" s="184">
        <v>0</v>
      </c>
      <c r="R208" s="184">
        <v>0</v>
      </c>
      <c r="S208" s="184">
        <v>0</v>
      </c>
      <c r="T208" s="184">
        <v>0</v>
      </c>
      <c r="U208" s="184">
        <v>2</v>
      </c>
      <c r="V208" s="184">
        <v>3</v>
      </c>
      <c r="W208" s="184">
        <v>1</v>
      </c>
      <c r="X208" s="184">
        <v>1</v>
      </c>
      <c r="Y208" s="184">
        <v>0</v>
      </c>
      <c r="Z208" s="184">
        <v>0</v>
      </c>
      <c r="AA208" s="184">
        <v>0</v>
      </c>
      <c r="AB208" s="184">
        <v>0</v>
      </c>
      <c r="AC208" s="185">
        <v>43.3</v>
      </c>
      <c r="AD208" s="185" t="s">
        <v>24</v>
      </c>
      <c r="AE208" s="184">
        <v>0</v>
      </c>
      <c r="AF208" s="185">
        <v>0</v>
      </c>
      <c r="AG208" s="184">
        <v>0</v>
      </c>
      <c r="AH208" s="185">
        <v>0</v>
      </c>
      <c r="AI208" s="184">
        <v>0</v>
      </c>
      <c r="AJ208" s="643">
        <v>0</v>
      </c>
    </row>
    <row r="209" spans="1:36" x14ac:dyDescent="0.2">
      <c r="A209" s="190" t="s">
        <v>126</v>
      </c>
      <c r="B209" s="642">
        <v>5</v>
      </c>
      <c r="C209" s="184">
        <v>0</v>
      </c>
      <c r="D209" s="184">
        <v>5</v>
      </c>
      <c r="E209" s="184">
        <v>0</v>
      </c>
      <c r="F209" s="184">
        <v>0</v>
      </c>
      <c r="G209" s="184">
        <v>0</v>
      </c>
      <c r="H209" s="184">
        <v>0</v>
      </c>
      <c r="I209" s="184">
        <v>0</v>
      </c>
      <c r="J209" s="184">
        <v>0</v>
      </c>
      <c r="K209" s="184">
        <v>0</v>
      </c>
      <c r="L209" s="184">
        <v>0</v>
      </c>
      <c r="M209" s="654" t="s">
        <v>24</v>
      </c>
      <c r="N209" s="669" t="s">
        <v>126</v>
      </c>
      <c r="O209" s="642">
        <v>0</v>
      </c>
      <c r="P209" s="184">
        <v>0</v>
      </c>
      <c r="Q209" s="184">
        <v>0</v>
      </c>
      <c r="R209" s="184">
        <v>0</v>
      </c>
      <c r="S209" s="184">
        <v>0</v>
      </c>
      <c r="T209" s="184">
        <v>0</v>
      </c>
      <c r="U209" s="184">
        <v>3</v>
      </c>
      <c r="V209" s="184">
        <v>0</v>
      </c>
      <c r="W209" s="184">
        <v>2</v>
      </c>
      <c r="X209" s="184">
        <v>0</v>
      </c>
      <c r="Y209" s="184">
        <v>0</v>
      </c>
      <c r="Z209" s="184">
        <v>0</v>
      </c>
      <c r="AA209" s="184">
        <v>0</v>
      </c>
      <c r="AB209" s="184">
        <v>0</v>
      </c>
      <c r="AC209" s="185">
        <v>41.2</v>
      </c>
      <c r="AD209" s="185" t="s">
        <v>24</v>
      </c>
      <c r="AE209" s="184">
        <v>0</v>
      </c>
      <c r="AF209" s="185">
        <v>0</v>
      </c>
      <c r="AG209" s="184">
        <v>0</v>
      </c>
      <c r="AH209" s="185">
        <v>0</v>
      </c>
      <c r="AI209" s="184">
        <v>0</v>
      </c>
      <c r="AJ209" s="643">
        <v>0</v>
      </c>
    </row>
    <row r="210" spans="1:36" x14ac:dyDescent="0.2">
      <c r="A210" s="190" t="s">
        <v>76</v>
      </c>
      <c r="B210" s="642">
        <v>4</v>
      </c>
      <c r="C210" s="184">
        <v>0</v>
      </c>
      <c r="D210" s="184">
        <v>3</v>
      </c>
      <c r="E210" s="184">
        <v>0</v>
      </c>
      <c r="F210" s="184">
        <v>1</v>
      </c>
      <c r="G210" s="184">
        <v>0</v>
      </c>
      <c r="H210" s="184">
        <v>0</v>
      </c>
      <c r="I210" s="184">
        <v>0</v>
      </c>
      <c r="J210" s="184">
        <v>0</v>
      </c>
      <c r="K210" s="184">
        <v>0</v>
      </c>
      <c r="L210" s="184">
        <v>0</v>
      </c>
      <c r="M210" s="654" t="s">
        <v>24</v>
      </c>
      <c r="N210" s="669" t="s">
        <v>76</v>
      </c>
      <c r="O210" s="642">
        <v>0</v>
      </c>
      <c r="P210" s="184">
        <v>0</v>
      </c>
      <c r="Q210" s="184">
        <v>0</v>
      </c>
      <c r="R210" s="184">
        <v>0</v>
      </c>
      <c r="S210" s="184">
        <v>0</v>
      </c>
      <c r="T210" s="184">
        <v>0</v>
      </c>
      <c r="U210" s="184">
        <v>1</v>
      </c>
      <c r="V210" s="184">
        <v>0</v>
      </c>
      <c r="W210" s="184">
        <v>2</v>
      </c>
      <c r="X210" s="184">
        <v>1</v>
      </c>
      <c r="Y210" s="184">
        <v>0</v>
      </c>
      <c r="Z210" s="184">
        <v>0</v>
      </c>
      <c r="AA210" s="184">
        <v>0</v>
      </c>
      <c r="AB210" s="184">
        <v>0</v>
      </c>
      <c r="AC210" s="185">
        <v>45.6</v>
      </c>
      <c r="AD210" s="185" t="s">
        <v>24</v>
      </c>
      <c r="AE210" s="184">
        <v>0</v>
      </c>
      <c r="AF210" s="185">
        <v>0</v>
      </c>
      <c r="AG210" s="184">
        <v>0</v>
      </c>
      <c r="AH210" s="185">
        <v>0</v>
      </c>
      <c r="AI210" s="184">
        <v>0</v>
      </c>
      <c r="AJ210" s="643">
        <v>0</v>
      </c>
    </row>
    <row r="211" spans="1:36" x14ac:dyDescent="0.2">
      <c r="A211" s="190" t="s">
        <v>127</v>
      </c>
      <c r="B211" s="642">
        <v>3</v>
      </c>
      <c r="C211" s="184">
        <v>0</v>
      </c>
      <c r="D211" s="184">
        <v>3</v>
      </c>
      <c r="E211" s="184">
        <v>0</v>
      </c>
      <c r="F211" s="184">
        <v>0</v>
      </c>
      <c r="G211" s="184">
        <v>0</v>
      </c>
      <c r="H211" s="184">
        <v>0</v>
      </c>
      <c r="I211" s="184">
        <v>0</v>
      </c>
      <c r="J211" s="184">
        <v>0</v>
      </c>
      <c r="K211" s="184">
        <v>0</v>
      </c>
      <c r="L211" s="184">
        <v>0</v>
      </c>
      <c r="M211" s="654" t="s">
        <v>24</v>
      </c>
      <c r="N211" s="669" t="s">
        <v>127</v>
      </c>
      <c r="O211" s="642">
        <v>0</v>
      </c>
      <c r="P211" s="184">
        <v>0</v>
      </c>
      <c r="Q211" s="184">
        <v>0</v>
      </c>
      <c r="R211" s="184">
        <v>0</v>
      </c>
      <c r="S211" s="184">
        <v>0</v>
      </c>
      <c r="T211" s="184">
        <v>1</v>
      </c>
      <c r="U211" s="184">
        <v>0</v>
      </c>
      <c r="V211" s="184">
        <v>2</v>
      </c>
      <c r="W211" s="184">
        <v>0</v>
      </c>
      <c r="X211" s="184">
        <v>0</v>
      </c>
      <c r="Y211" s="184">
        <v>0</v>
      </c>
      <c r="Z211" s="184">
        <v>0</v>
      </c>
      <c r="AA211" s="184">
        <v>0</v>
      </c>
      <c r="AB211" s="184">
        <v>0</v>
      </c>
      <c r="AC211" s="185">
        <v>37.9</v>
      </c>
      <c r="AD211" s="185" t="s">
        <v>24</v>
      </c>
      <c r="AE211" s="184">
        <v>0</v>
      </c>
      <c r="AF211" s="185">
        <v>0</v>
      </c>
      <c r="AG211" s="184">
        <v>0</v>
      </c>
      <c r="AH211" s="185">
        <v>0</v>
      </c>
      <c r="AI211" s="184">
        <v>0</v>
      </c>
      <c r="AJ211" s="643">
        <v>0</v>
      </c>
    </row>
    <row r="212" spans="1:36" x14ac:dyDescent="0.2">
      <c r="A212" s="190" t="s">
        <v>128</v>
      </c>
      <c r="B212" s="642">
        <v>1</v>
      </c>
      <c r="C212" s="184">
        <v>0</v>
      </c>
      <c r="D212" s="184">
        <v>1</v>
      </c>
      <c r="E212" s="184">
        <v>0</v>
      </c>
      <c r="F212" s="184">
        <v>0</v>
      </c>
      <c r="G212" s="184">
        <v>0</v>
      </c>
      <c r="H212" s="184">
        <v>0</v>
      </c>
      <c r="I212" s="184">
        <v>0</v>
      </c>
      <c r="J212" s="184">
        <v>0</v>
      </c>
      <c r="K212" s="184">
        <v>0</v>
      </c>
      <c r="L212" s="184">
        <v>0</v>
      </c>
      <c r="M212" s="654" t="s">
        <v>24</v>
      </c>
      <c r="N212" s="669" t="s">
        <v>128</v>
      </c>
      <c r="O212" s="642">
        <v>0</v>
      </c>
      <c r="P212" s="184">
        <v>0</v>
      </c>
      <c r="Q212" s="184">
        <v>0</v>
      </c>
      <c r="R212" s="184">
        <v>0</v>
      </c>
      <c r="S212" s="184">
        <v>0</v>
      </c>
      <c r="T212" s="184">
        <v>0</v>
      </c>
      <c r="U212" s="184">
        <v>0</v>
      </c>
      <c r="V212" s="184">
        <v>1</v>
      </c>
      <c r="W212" s="184">
        <v>0</v>
      </c>
      <c r="X212" s="184">
        <v>0</v>
      </c>
      <c r="Y212" s="184">
        <v>0</v>
      </c>
      <c r="Z212" s="184">
        <v>0</v>
      </c>
      <c r="AA212" s="184">
        <v>0</v>
      </c>
      <c r="AB212" s="184">
        <v>0</v>
      </c>
      <c r="AC212" s="185">
        <v>41.2</v>
      </c>
      <c r="AD212" s="185" t="s">
        <v>24</v>
      </c>
      <c r="AE212" s="184">
        <v>0</v>
      </c>
      <c r="AF212" s="185">
        <v>0</v>
      </c>
      <c r="AG212" s="184">
        <v>0</v>
      </c>
      <c r="AH212" s="185">
        <v>0</v>
      </c>
      <c r="AI212" s="184">
        <v>0</v>
      </c>
      <c r="AJ212" s="643">
        <v>0</v>
      </c>
    </row>
    <row r="213" spans="1:36" x14ac:dyDescent="0.2">
      <c r="A213" s="190" t="s">
        <v>129</v>
      </c>
      <c r="B213" s="642">
        <v>1</v>
      </c>
      <c r="C213" s="184">
        <v>0</v>
      </c>
      <c r="D213" s="184">
        <v>1</v>
      </c>
      <c r="E213" s="184">
        <v>0</v>
      </c>
      <c r="F213" s="184">
        <v>0</v>
      </c>
      <c r="G213" s="184">
        <v>0</v>
      </c>
      <c r="H213" s="184">
        <v>0</v>
      </c>
      <c r="I213" s="184">
        <v>0</v>
      </c>
      <c r="J213" s="184">
        <v>0</v>
      </c>
      <c r="K213" s="184">
        <v>0</v>
      </c>
      <c r="L213" s="184">
        <v>0</v>
      </c>
      <c r="M213" s="654" t="s">
        <v>24</v>
      </c>
      <c r="N213" s="669" t="s">
        <v>129</v>
      </c>
      <c r="O213" s="642">
        <v>0</v>
      </c>
      <c r="P213" s="184">
        <v>0</v>
      </c>
      <c r="Q213" s="184">
        <v>0</v>
      </c>
      <c r="R213" s="184">
        <v>0</v>
      </c>
      <c r="S213" s="184">
        <v>0</v>
      </c>
      <c r="T213" s="184">
        <v>0</v>
      </c>
      <c r="U213" s="184">
        <v>0</v>
      </c>
      <c r="V213" s="184">
        <v>0</v>
      </c>
      <c r="W213" s="184">
        <v>1</v>
      </c>
      <c r="X213" s="184">
        <v>0</v>
      </c>
      <c r="Y213" s="184">
        <v>0</v>
      </c>
      <c r="Z213" s="184">
        <v>0</v>
      </c>
      <c r="AA213" s="184">
        <v>0</v>
      </c>
      <c r="AB213" s="184">
        <v>0</v>
      </c>
      <c r="AC213" s="185">
        <v>45.9</v>
      </c>
      <c r="AD213" s="185" t="s">
        <v>24</v>
      </c>
      <c r="AE213" s="184">
        <v>0</v>
      </c>
      <c r="AF213" s="185">
        <v>0</v>
      </c>
      <c r="AG213" s="184">
        <v>0</v>
      </c>
      <c r="AH213" s="185">
        <v>0</v>
      </c>
      <c r="AI213" s="184">
        <v>0</v>
      </c>
      <c r="AJ213" s="643">
        <v>0</v>
      </c>
    </row>
    <row r="214" spans="1:36" x14ac:dyDescent="0.2">
      <c r="A214" s="190" t="s">
        <v>78</v>
      </c>
      <c r="B214" s="642">
        <v>1</v>
      </c>
      <c r="C214" s="184">
        <v>0</v>
      </c>
      <c r="D214" s="184">
        <v>1</v>
      </c>
      <c r="E214" s="184">
        <v>0</v>
      </c>
      <c r="F214" s="184">
        <v>0</v>
      </c>
      <c r="G214" s="184">
        <v>0</v>
      </c>
      <c r="H214" s="184">
        <v>0</v>
      </c>
      <c r="I214" s="184">
        <v>0</v>
      </c>
      <c r="J214" s="184">
        <v>0</v>
      </c>
      <c r="K214" s="184">
        <v>0</v>
      </c>
      <c r="L214" s="184">
        <v>0</v>
      </c>
      <c r="M214" s="654" t="s">
        <v>24</v>
      </c>
      <c r="N214" s="669" t="s">
        <v>78</v>
      </c>
      <c r="O214" s="642">
        <v>0</v>
      </c>
      <c r="P214" s="184">
        <v>0</v>
      </c>
      <c r="Q214" s="184">
        <v>0</v>
      </c>
      <c r="R214" s="184">
        <v>0</v>
      </c>
      <c r="S214" s="184">
        <v>0</v>
      </c>
      <c r="T214" s="184">
        <v>0</v>
      </c>
      <c r="U214" s="184">
        <v>0</v>
      </c>
      <c r="V214" s="184">
        <v>0</v>
      </c>
      <c r="W214" s="184">
        <v>1</v>
      </c>
      <c r="X214" s="184">
        <v>0</v>
      </c>
      <c r="Y214" s="184">
        <v>0</v>
      </c>
      <c r="Z214" s="184">
        <v>0</v>
      </c>
      <c r="AA214" s="184">
        <v>0</v>
      </c>
      <c r="AB214" s="184">
        <v>0</v>
      </c>
      <c r="AC214" s="185">
        <v>45.9</v>
      </c>
      <c r="AD214" s="185" t="s">
        <v>24</v>
      </c>
      <c r="AE214" s="184">
        <v>0</v>
      </c>
      <c r="AF214" s="185">
        <v>0</v>
      </c>
      <c r="AG214" s="184">
        <v>0</v>
      </c>
      <c r="AH214" s="185">
        <v>0</v>
      </c>
      <c r="AI214" s="184">
        <v>0</v>
      </c>
      <c r="AJ214" s="643">
        <v>0</v>
      </c>
    </row>
    <row r="215" spans="1:36" x14ac:dyDescent="0.2">
      <c r="A215" s="190" t="s">
        <v>130</v>
      </c>
      <c r="B215" s="642">
        <v>1</v>
      </c>
      <c r="C215" s="184">
        <v>0</v>
      </c>
      <c r="D215" s="184">
        <v>1</v>
      </c>
      <c r="E215" s="184">
        <v>0</v>
      </c>
      <c r="F215" s="184">
        <v>0</v>
      </c>
      <c r="G215" s="184">
        <v>0</v>
      </c>
      <c r="H215" s="184">
        <v>0</v>
      </c>
      <c r="I215" s="184">
        <v>0</v>
      </c>
      <c r="J215" s="184">
        <v>0</v>
      </c>
      <c r="K215" s="184">
        <v>0</v>
      </c>
      <c r="L215" s="184">
        <v>0</v>
      </c>
      <c r="M215" s="654" t="s">
        <v>24</v>
      </c>
      <c r="N215" s="669" t="s">
        <v>130</v>
      </c>
      <c r="O215" s="642">
        <v>0</v>
      </c>
      <c r="P215" s="184">
        <v>0</v>
      </c>
      <c r="Q215" s="184">
        <v>0</v>
      </c>
      <c r="R215" s="184">
        <v>0</v>
      </c>
      <c r="S215" s="184">
        <v>0</v>
      </c>
      <c r="T215" s="184">
        <v>0</v>
      </c>
      <c r="U215" s="184">
        <v>0</v>
      </c>
      <c r="V215" s="184">
        <v>1</v>
      </c>
      <c r="W215" s="184">
        <v>0</v>
      </c>
      <c r="X215" s="184">
        <v>0</v>
      </c>
      <c r="Y215" s="184">
        <v>0</v>
      </c>
      <c r="Z215" s="184">
        <v>0</v>
      </c>
      <c r="AA215" s="184">
        <v>0</v>
      </c>
      <c r="AB215" s="184">
        <v>0</v>
      </c>
      <c r="AC215" s="185">
        <v>42</v>
      </c>
      <c r="AD215" s="185" t="s">
        <v>24</v>
      </c>
      <c r="AE215" s="184">
        <v>0</v>
      </c>
      <c r="AF215" s="185">
        <v>0</v>
      </c>
      <c r="AG215" s="184">
        <v>0</v>
      </c>
      <c r="AH215" s="185">
        <v>0</v>
      </c>
      <c r="AI215" s="184">
        <v>0</v>
      </c>
      <c r="AJ215" s="643">
        <v>0</v>
      </c>
    </row>
    <row r="216" spans="1:36" x14ac:dyDescent="0.2">
      <c r="A216" s="190" t="s">
        <v>131</v>
      </c>
      <c r="B216" s="642">
        <v>2</v>
      </c>
      <c r="C216" s="184">
        <v>0</v>
      </c>
      <c r="D216" s="184">
        <v>2</v>
      </c>
      <c r="E216" s="184">
        <v>0</v>
      </c>
      <c r="F216" s="184">
        <v>0</v>
      </c>
      <c r="G216" s="184">
        <v>0</v>
      </c>
      <c r="H216" s="184">
        <v>0</v>
      </c>
      <c r="I216" s="184">
        <v>0</v>
      </c>
      <c r="J216" s="184">
        <v>0</v>
      </c>
      <c r="K216" s="184">
        <v>0</v>
      </c>
      <c r="L216" s="184">
        <v>0</v>
      </c>
      <c r="M216" s="654" t="s">
        <v>24</v>
      </c>
      <c r="N216" s="669" t="s">
        <v>131</v>
      </c>
      <c r="O216" s="642">
        <v>0</v>
      </c>
      <c r="P216" s="184">
        <v>0</v>
      </c>
      <c r="Q216" s="184">
        <v>0</v>
      </c>
      <c r="R216" s="184">
        <v>0</v>
      </c>
      <c r="S216" s="184">
        <v>0</v>
      </c>
      <c r="T216" s="184">
        <v>0</v>
      </c>
      <c r="U216" s="184">
        <v>0</v>
      </c>
      <c r="V216" s="184">
        <v>0</v>
      </c>
      <c r="W216" s="184">
        <v>1</v>
      </c>
      <c r="X216" s="184">
        <v>1</v>
      </c>
      <c r="Y216" s="184">
        <v>0</v>
      </c>
      <c r="Z216" s="184">
        <v>0</v>
      </c>
      <c r="AA216" s="184">
        <v>0</v>
      </c>
      <c r="AB216" s="184">
        <v>0</v>
      </c>
      <c r="AC216" s="185">
        <v>50.1</v>
      </c>
      <c r="AD216" s="185" t="s">
        <v>24</v>
      </c>
      <c r="AE216" s="184">
        <v>0</v>
      </c>
      <c r="AF216" s="185">
        <v>0</v>
      </c>
      <c r="AG216" s="184">
        <v>0</v>
      </c>
      <c r="AH216" s="185">
        <v>0</v>
      </c>
      <c r="AI216" s="184">
        <v>0</v>
      </c>
      <c r="AJ216" s="643">
        <v>0</v>
      </c>
    </row>
    <row r="217" spans="1:36" x14ac:dyDescent="0.2">
      <c r="A217" s="190" t="s">
        <v>132</v>
      </c>
      <c r="B217" s="648">
        <v>0</v>
      </c>
      <c r="C217" s="649">
        <v>0</v>
      </c>
      <c r="D217" s="649">
        <v>0</v>
      </c>
      <c r="E217" s="649">
        <v>0</v>
      </c>
      <c r="F217" s="649">
        <v>0</v>
      </c>
      <c r="G217" s="649">
        <v>0</v>
      </c>
      <c r="H217" s="649">
        <v>0</v>
      </c>
      <c r="I217" s="649">
        <v>0</v>
      </c>
      <c r="J217" s="649">
        <v>0</v>
      </c>
      <c r="K217" s="649">
        <v>0</v>
      </c>
      <c r="L217" s="649">
        <v>0</v>
      </c>
      <c r="M217" s="657" t="s">
        <v>24</v>
      </c>
      <c r="N217" s="669" t="s">
        <v>132</v>
      </c>
      <c r="O217" s="648">
        <v>0</v>
      </c>
      <c r="P217" s="649">
        <v>0</v>
      </c>
      <c r="Q217" s="649">
        <v>0</v>
      </c>
      <c r="R217" s="649">
        <v>0</v>
      </c>
      <c r="S217" s="649">
        <v>0</v>
      </c>
      <c r="T217" s="649">
        <v>0</v>
      </c>
      <c r="U217" s="649">
        <v>0</v>
      </c>
      <c r="V217" s="649">
        <v>0</v>
      </c>
      <c r="W217" s="649">
        <v>0</v>
      </c>
      <c r="X217" s="649">
        <v>0</v>
      </c>
      <c r="Y217" s="649">
        <v>0</v>
      </c>
      <c r="Z217" s="649">
        <v>0</v>
      </c>
      <c r="AA217" s="649">
        <v>0</v>
      </c>
      <c r="AB217" s="649">
        <v>0</v>
      </c>
      <c r="AC217" s="650" t="s">
        <v>24</v>
      </c>
      <c r="AD217" s="650" t="s">
        <v>24</v>
      </c>
      <c r="AE217" s="649">
        <v>0</v>
      </c>
      <c r="AF217" s="650">
        <v>0</v>
      </c>
      <c r="AG217" s="649">
        <v>0</v>
      </c>
      <c r="AH217" s="650">
        <v>0</v>
      </c>
      <c r="AI217" s="649">
        <v>0</v>
      </c>
      <c r="AJ217" s="651">
        <v>0</v>
      </c>
    </row>
    <row r="218" spans="1:36" x14ac:dyDescent="0.2">
      <c r="A218" s="190" t="s">
        <v>133</v>
      </c>
      <c r="B218" s="590">
        <v>607</v>
      </c>
      <c r="C218" s="591">
        <v>15</v>
      </c>
      <c r="D218" s="591">
        <v>515</v>
      </c>
      <c r="E218" s="591">
        <v>13</v>
      </c>
      <c r="F218" s="591">
        <v>58</v>
      </c>
      <c r="G218" s="591">
        <v>3</v>
      </c>
      <c r="H218" s="591">
        <v>0</v>
      </c>
      <c r="I218" s="591">
        <v>2</v>
      </c>
      <c r="J218" s="591">
        <v>1</v>
      </c>
      <c r="K218" s="591">
        <v>0</v>
      </c>
      <c r="L218" s="591">
        <v>0</v>
      </c>
      <c r="M218" s="591" t="s">
        <v>24</v>
      </c>
      <c r="N218" s="584" t="s">
        <v>133</v>
      </c>
      <c r="O218" s="591">
        <v>1</v>
      </c>
      <c r="P218" s="591">
        <v>5</v>
      </c>
      <c r="Q218" s="591">
        <v>5</v>
      </c>
      <c r="R218" s="591">
        <v>24</v>
      </c>
      <c r="S218" s="591">
        <v>58</v>
      </c>
      <c r="T218" s="591">
        <v>89</v>
      </c>
      <c r="U218" s="591">
        <v>146</v>
      </c>
      <c r="V218" s="591">
        <v>128</v>
      </c>
      <c r="W218" s="591">
        <v>92</v>
      </c>
      <c r="X218" s="591">
        <v>54</v>
      </c>
      <c r="Y218" s="591">
        <v>4</v>
      </c>
      <c r="Z218" s="591">
        <v>1</v>
      </c>
      <c r="AA218" s="591">
        <v>0</v>
      </c>
      <c r="AB218" s="591">
        <v>0</v>
      </c>
      <c r="AC218" s="606">
        <v>38.435416666666676</v>
      </c>
      <c r="AD218" s="606">
        <v>48.56</v>
      </c>
      <c r="AE218" s="591">
        <v>5</v>
      </c>
      <c r="AF218" s="606">
        <v>0.57175925925925919</v>
      </c>
      <c r="AG218" s="591">
        <v>1</v>
      </c>
      <c r="AH218" s="606">
        <v>0.11574074074074074</v>
      </c>
      <c r="AI218" s="591">
        <v>1</v>
      </c>
      <c r="AJ218" s="607">
        <v>0.11574074074074074</v>
      </c>
    </row>
    <row r="219" spans="1:36" x14ac:dyDescent="0.2">
      <c r="A219" s="190" t="s">
        <v>134</v>
      </c>
      <c r="B219" s="593">
        <v>725</v>
      </c>
      <c r="C219" s="181">
        <v>19</v>
      </c>
      <c r="D219" s="181">
        <v>620</v>
      </c>
      <c r="E219" s="181">
        <v>13</v>
      </c>
      <c r="F219" s="181">
        <v>67</v>
      </c>
      <c r="G219" s="181">
        <v>3</v>
      </c>
      <c r="H219" s="181">
        <v>0</v>
      </c>
      <c r="I219" s="181">
        <v>2</v>
      </c>
      <c r="J219" s="181">
        <v>1</v>
      </c>
      <c r="K219" s="181">
        <v>0</v>
      </c>
      <c r="L219" s="181">
        <v>0</v>
      </c>
      <c r="M219" s="181" t="s">
        <v>24</v>
      </c>
      <c r="N219" s="585" t="s">
        <v>134</v>
      </c>
      <c r="O219" s="181">
        <v>1</v>
      </c>
      <c r="P219" s="181">
        <v>5</v>
      </c>
      <c r="Q219" s="181">
        <v>6</v>
      </c>
      <c r="R219" s="181">
        <v>25</v>
      </c>
      <c r="S219" s="181">
        <v>62</v>
      </c>
      <c r="T219" s="181">
        <v>95</v>
      </c>
      <c r="U219" s="181">
        <v>170</v>
      </c>
      <c r="V219" s="181">
        <v>155</v>
      </c>
      <c r="W219" s="181">
        <v>120</v>
      </c>
      <c r="X219" s="181">
        <v>77</v>
      </c>
      <c r="Y219" s="181">
        <v>8</v>
      </c>
      <c r="Z219" s="181">
        <v>1</v>
      </c>
      <c r="AA219" s="181">
        <v>0</v>
      </c>
      <c r="AB219" s="181">
        <v>0</v>
      </c>
      <c r="AC219" s="182">
        <v>39.865625000000001</v>
      </c>
      <c r="AD219" s="182">
        <v>49.234482758620686</v>
      </c>
      <c r="AE219" s="181">
        <v>9</v>
      </c>
      <c r="AF219" s="182">
        <v>1.152405753968254</v>
      </c>
      <c r="AG219" s="181">
        <v>1</v>
      </c>
      <c r="AH219" s="182">
        <v>8.6805555555555552E-2</v>
      </c>
      <c r="AI219" s="181">
        <v>1</v>
      </c>
      <c r="AJ219" s="608">
        <v>8.6805555555555552E-2</v>
      </c>
    </row>
    <row r="220" spans="1:36" x14ac:dyDescent="0.2">
      <c r="A220" s="190" t="s">
        <v>135</v>
      </c>
      <c r="B220" s="593">
        <v>738</v>
      </c>
      <c r="C220" s="181">
        <v>19</v>
      </c>
      <c r="D220" s="181">
        <v>632</v>
      </c>
      <c r="E220" s="181">
        <v>13</v>
      </c>
      <c r="F220" s="181">
        <v>68</v>
      </c>
      <c r="G220" s="181">
        <v>3</v>
      </c>
      <c r="H220" s="181">
        <v>0</v>
      </c>
      <c r="I220" s="181">
        <v>2</v>
      </c>
      <c r="J220" s="181">
        <v>1</v>
      </c>
      <c r="K220" s="181">
        <v>0</v>
      </c>
      <c r="L220" s="181">
        <v>0</v>
      </c>
      <c r="M220" s="181" t="s">
        <v>24</v>
      </c>
      <c r="N220" s="585" t="s">
        <v>135</v>
      </c>
      <c r="O220" s="181">
        <v>1</v>
      </c>
      <c r="P220" s="181">
        <v>5</v>
      </c>
      <c r="Q220" s="181">
        <v>6</v>
      </c>
      <c r="R220" s="181">
        <v>25</v>
      </c>
      <c r="S220" s="181">
        <v>62</v>
      </c>
      <c r="T220" s="181">
        <v>96</v>
      </c>
      <c r="U220" s="181">
        <v>171</v>
      </c>
      <c r="V220" s="181">
        <v>159</v>
      </c>
      <c r="W220" s="181">
        <v>125</v>
      </c>
      <c r="X220" s="181">
        <v>79</v>
      </c>
      <c r="Y220" s="181">
        <v>8</v>
      </c>
      <c r="Z220" s="181">
        <v>1</v>
      </c>
      <c r="AA220" s="181">
        <v>0</v>
      </c>
      <c r="AB220" s="181">
        <v>0</v>
      </c>
      <c r="AC220" s="182">
        <v>40.281690140845072</v>
      </c>
      <c r="AD220" s="182">
        <v>49.234482758620686</v>
      </c>
      <c r="AE220" s="181">
        <v>9</v>
      </c>
      <c r="AF220" s="182">
        <v>1.0243606701940036</v>
      </c>
      <c r="AG220" s="181">
        <v>1</v>
      </c>
      <c r="AH220" s="182">
        <v>7.716049382716049E-2</v>
      </c>
      <c r="AI220" s="181">
        <v>1</v>
      </c>
      <c r="AJ220" s="608">
        <v>7.716049382716049E-2</v>
      </c>
    </row>
    <row r="221" spans="1:36" x14ac:dyDescent="0.2">
      <c r="A221" s="190" t="s">
        <v>136</v>
      </c>
      <c r="B221" s="595">
        <v>748</v>
      </c>
      <c r="C221" s="596">
        <v>19</v>
      </c>
      <c r="D221" s="596">
        <v>641</v>
      </c>
      <c r="E221" s="596">
        <v>13</v>
      </c>
      <c r="F221" s="596">
        <v>69</v>
      </c>
      <c r="G221" s="596">
        <v>3</v>
      </c>
      <c r="H221" s="596">
        <v>0</v>
      </c>
      <c r="I221" s="596">
        <v>2</v>
      </c>
      <c r="J221" s="596">
        <v>1</v>
      </c>
      <c r="K221" s="596">
        <v>0</v>
      </c>
      <c r="L221" s="596">
        <v>0</v>
      </c>
      <c r="M221" s="596" t="s">
        <v>24</v>
      </c>
      <c r="N221" s="586" t="s">
        <v>136</v>
      </c>
      <c r="O221" s="596">
        <v>1</v>
      </c>
      <c r="P221" s="596">
        <v>5</v>
      </c>
      <c r="Q221" s="596">
        <v>6</v>
      </c>
      <c r="R221" s="596">
        <v>25</v>
      </c>
      <c r="S221" s="596">
        <v>62</v>
      </c>
      <c r="T221" s="596">
        <v>96</v>
      </c>
      <c r="U221" s="596">
        <v>174</v>
      </c>
      <c r="V221" s="596">
        <v>162</v>
      </c>
      <c r="W221" s="596">
        <v>127</v>
      </c>
      <c r="X221" s="596">
        <v>81</v>
      </c>
      <c r="Y221" s="596">
        <v>8</v>
      </c>
      <c r="Z221" s="596">
        <v>1</v>
      </c>
      <c r="AA221" s="596">
        <v>0</v>
      </c>
      <c r="AB221" s="596">
        <v>0</v>
      </c>
      <c r="AC221" s="609">
        <v>40.668354430379736</v>
      </c>
      <c r="AD221" s="609">
        <v>49.234482758620686</v>
      </c>
      <c r="AE221" s="596">
        <v>9</v>
      </c>
      <c r="AF221" s="609">
        <v>0.76827050264550267</v>
      </c>
      <c r="AG221" s="596">
        <v>1</v>
      </c>
      <c r="AH221" s="609">
        <v>5.7870370370370371E-2</v>
      </c>
      <c r="AI221" s="596">
        <v>1</v>
      </c>
      <c r="AJ221" s="610">
        <v>5.7870370370370371E-2</v>
      </c>
    </row>
    <row r="222" spans="1:36" x14ac:dyDescent="0.2">
      <c r="A222" s="190"/>
      <c r="B222" s="660"/>
      <c r="C222" s="661"/>
      <c r="D222" s="661"/>
      <c r="E222" s="661"/>
      <c r="F222" s="661"/>
      <c r="G222" s="661"/>
      <c r="H222" s="661"/>
      <c r="I222" s="661"/>
      <c r="J222" s="661"/>
      <c r="K222" s="661"/>
      <c r="L222" s="661"/>
      <c r="M222" s="661"/>
      <c r="N222" s="662"/>
      <c r="O222" s="661"/>
      <c r="P222" s="661"/>
      <c r="Q222" s="661"/>
      <c r="R222" s="661"/>
      <c r="S222" s="661"/>
      <c r="T222" s="661"/>
      <c r="U222" s="661"/>
      <c r="V222" s="661"/>
      <c r="W222" s="661"/>
      <c r="X222" s="661"/>
      <c r="Y222" s="661"/>
      <c r="Z222" s="661"/>
      <c r="AA222" s="661"/>
      <c r="AB222" s="661"/>
      <c r="AC222" s="663"/>
      <c r="AD222" s="663"/>
      <c r="AE222" s="661"/>
      <c r="AF222" s="663"/>
      <c r="AG222" s="661"/>
      <c r="AH222" s="663"/>
      <c r="AI222" s="661"/>
      <c r="AJ222" s="663"/>
    </row>
    <row r="223" spans="1:36" x14ac:dyDescent="0.2">
      <c r="A223" s="190"/>
      <c r="B223" s="664"/>
      <c r="C223" s="169"/>
      <c r="D223" s="169"/>
      <c r="E223" s="169"/>
      <c r="F223" s="169"/>
      <c r="G223" s="169"/>
      <c r="H223" s="169"/>
      <c r="I223" s="169"/>
      <c r="J223" s="169"/>
      <c r="K223" s="169"/>
      <c r="L223" s="169"/>
      <c r="M223" s="169"/>
      <c r="N223" s="178"/>
      <c r="O223" s="169"/>
      <c r="P223" s="169"/>
      <c r="Q223" s="169"/>
      <c r="R223" s="169"/>
      <c r="S223" s="169"/>
      <c r="T223" s="169"/>
      <c r="U223" s="169"/>
      <c r="V223" s="169"/>
      <c r="W223" s="169"/>
      <c r="X223" s="169"/>
      <c r="Y223" s="169"/>
      <c r="Z223" s="169"/>
      <c r="AA223" s="169"/>
      <c r="AB223" s="169"/>
      <c r="AC223" s="177"/>
      <c r="AD223" s="177"/>
      <c r="AE223" s="169"/>
      <c r="AF223" s="177"/>
      <c r="AG223" s="169"/>
      <c r="AH223" s="177"/>
      <c r="AI223" s="169"/>
      <c r="AJ223" s="177"/>
    </row>
    <row r="224" spans="1:36" x14ac:dyDescent="0.2">
      <c r="A224" s="658">
        <f>A117+1</f>
        <v>43265</v>
      </c>
      <c r="B224" s="664"/>
      <c r="C224" s="169"/>
      <c r="D224" s="169"/>
      <c r="E224" s="169"/>
      <c r="F224" s="169"/>
      <c r="G224" s="169"/>
      <c r="H224" s="169"/>
      <c r="I224" s="169"/>
      <c r="J224" s="169"/>
      <c r="K224" s="169"/>
      <c r="L224" s="169"/>
      <c r="M224" s="169"/>
      <c r="N224" s="178"/>
      <c r="O224" s="169"/>
      <c r="P224" s="169"/>
      <c r="Q224" s="169"/>
      <c r="R224" s="169"/>
      <c r="S224" s="169"/>
      <c r="T224" s="169"/>
      <c r="U224" s="169"/>
      <c r="V224" s="169"/>
      <c r="W224" s="169"/>
      <c r="X224" s="169"/>
      <c r="Y224" s="169"/>
      <c r="Z224" s="169"/>
      <c r="AA224" s="169"/>
      <c r="AB224" s="169"/>
      <c r="AC224" s="177"/>
      <c r="AD224" s="177"/>
      <c r="AE224" s="169"/>
      <c r="AF224" s="177"/>
      <c r="AG224" s="169"/>
      <c r="AH224" s="177"/>
      <c r="AI224" s="169"/>
      <c r="AJ224" s="177"/>
    </row>
    <row r="225" spans="1:36" x14ac:dyDescent="0.2">
      <c r="A225" s="190"/>
      <c r="B225" s="665"/>
      <c r="C225" s="666"/>
      <c r="D225" s="666"/>
      <c r="E225" s="666"/>
      <c r="F225" s="666"/>
      <c r="G225" s="666"/>
      <c r="H225" s="666"/>
      <c r="I225" s="666"/>
      <c r="J225" s="666"/>
      <c r="K225" s="666"/>
      <c r="L225" s="666"/>
      <c r="M225" s="666"/>
      <c r="N225" s="667"/>
      <c r="O225" s="666"/>
      <c r="P225" s="666"/>
      <c r="Q225" s="666"/>
      <c r="R225" s="666"/>
      <c r="S225" s="666"/>
      <c r="T225" s="666"/>
      <c r="U225" s="666"/>
      <c r="V225" s="666"/>
      <c r="W225" s="666"/>
      <c r="X225" s="666"/>
      <c r="Y225" s="666"/>
      <c r="Z225" s="666"/>
      <c r="AA225" s="666"/>
      <c r="AB225" s="666"/>
      <c r="AC225" s="668"/>
      <c r="AD225" s="668"/>
      <c r="AE225" s="666"/>
      <c r="AF225" s="668"/>
      <c r="AG225" s="666"/>
      <c r="AH225" s="668"/>
      <c r="AI225" s="666"/>
      <c r="AJ225" s="668"/>
    </row>
    <row r="226" spans="1:36" x14ac:dyDescent="0.2">
      <c r="A226" s="565" t="s">
        <v>252</v>
      </c>
      <c r="B226" s="568" t="s">
        <v>0</v>
      </c>
      <c r="C226" s="569" t="s">
        <v>442</v>
      </c>
      <c r="D226" s="569" t="s">
        <v>215</v>
      </c>
      <c r="E226" s="569" t="s">
        <v>443</v>
      </c>
      <c r="F226" s="569" t="s">
        <v>444</v>
      </c>
      <c r="G226" s="569" t="s">
        <v>445</v>
      </c>
      <c r="H226" s="569" t="s">
        <v>446</v>
      </c>
      <c r="I226" s="569" t="s">
        <v>447</v>
      </c>
      <c r="J226" s="569" t="s">
        <v>448</v>
      </c>
      <c r="K226" s="569" t="s">
        <v>449</v>
      </c>
      <c r="L226" s="569" t="s">
        <v>450</v>
      </c>
      <c r="M226" s="569"/>
      <c r="N226" s="584" t="s">
        <v>11</v>
      </c>
      <c r="O226" s="569" t="s">
        <v>268</v>
      </c>
      <c r="P226" s="569" t="s">
        <v>269</v>
      </c>
      <c r="Q226" s="569" t="s">
        <v>270</v>
      </c>
      <c r="R226" s="569" t="s">
        <v>271</v>
      </c>
      <c r="S226" s="569" t="s">
        <v>272</v>
      </c>
      <c r="T226" s="569" t="s">
        <v>273</v>
      </c>
      <c r="U226" s="569" t="s">
        <v>274</v>
      </c>
      <c r="V226" s="569" t="s">
        <v>275</v>
      </c>
      <c r="W226" s="569" t="s">
        <v>276</v>
      </c>
      <c r="X226" s="569" t="s">
        <v>277</v>
      </c>
      <c r="Y226" s="569" t="s">
        <v>278</v>
      </c>
      <c r="Z226" s="569" t="s">
        <v>279</v>
      </c>
      <c r="AA226" s="569" t="s">
        <v>280</v>
      </c>
      <c r="AB226" s="569" t="s">
        <v>281</v>
      </c>
      <c r="AC226" s="620" t="s">
        <v>258</v>
      </c>
      <c r="AD226" s="620" t="s">
        <v>13</v>
      </c>
      <c r="AE226" s="569" t="s">
        <v>166</v>
      </c>
      <c r="AF226" s="620" t="s">
        <v>259</v>
      </c>
      <c r="AG226" s="621" t="s">
        <v>260</v>
      </c>
      <c r="AH226" s="622" t="s">
        <v>261</v>
      </c>
      <c r="AI226" s="621" t="s">
        <v>262</v>
      </c>
      <c r="AJ226" s="623" t="s">
        <v>263</v>
      </c>
    </row>
    <row r="227" spans="1:36" x14ac:dyDescent="0.2">
      <c r="A227" s="190" t="s">
        <v>24</v>
      </c>
      <c r="B227" s="571" t="s">
        <v>24</v>
      </c>
      <c r="C227" s="179" t="s">
        <v>25</v>
      </c>
      <c r="D227" s="179" t="s">
        <v>26</v>
      </c>
      <c r="E227" s="179" t="s">
        <v>27</v>
      </c>
      <c r="F227" s="179" t="s">
        <v>28</v>
      </c>
      <c r="G227" s="179" t="s">
        <v>29</v>
      </c>
      <c r="H227" s="179" t="s">
        <v>30</v>
      </c>
      <c r="I227" s="179" t="s">
        <v>31</v>
      </c>
      <c r="J227" s="179" t="s">
        <v>32</v>
      </c>
      <c r="K227" s="179" t="s">
        <v>33</v>
      </c>
      <c r="L227" s="179" t="s">
        <v>34</v>
      </c>
      <c r="M227" s="179" t="s">
        <v>24</v>
      </c>
      <c r="N227" s="585" t="s">
        <v>24</v>
      </c>
      <c r="O227" s="179" t="s">
        <v>451</v>
      </c>
      <c r="P227" s="179" t="s">
        <v>34</v>
      </c>
      <c r="Q227" s="179" t="s">
        <v>452</v>
      </c>
      <c r="R227" s="179" t="s">
        <v>453</v>
      </c>
      <c r="S227" s="179" t="s">
        <v>454</v>
      </c>
      <c r="T227" s="179" t="s">
        <v>455</v>
      </c>
      <c r="U227" s="179" t="s">
        <v>456</v>
      </c>
      <c r="V227" s="179" t="s">
        <v>457</v>
      </c>
      <c r="W227" s="179" t="s">
        <v>458</v>
      </c>
      <c r="X227" s="179" t="s">
        <v>459</v>
      </c>
      <c r="Y227" s="179" t="s">
        <v>460</v>
      </c>
      <c r="Z227" s="179" t="s">
        <v>461</v>
      </c>
      <c r="AA227" s="179" t="s">
        <v>462</v>
      </c>
      <c r="AB227" s="179" t="s">
        <v>463</v>
      </c>
      <c r="AC227" s="180"/>
      <c r="AD227" s="180">
        <v>0</v>
      </c>
      <c r="AE227" s="179">
        <v>60</v>
      </c>
      <c r="AF227" s="179">
        <v>60</v>
      </c>
      <c r="AG227" s="225">
        <v>65</v>
      </c>
      <c r="AH227" s="225">
        <v>65</v>
      </c>
      <c r="AI227" s="225">
        <v>75</v>
      </c>
      <c r="AJ227" s="624">
        <v>75</v>
      </c>
    </row>
    <row r="228" spans="1:36" ht="13.5" thickBot="1" x14ac:dyDescent="0.25">
      <c r="A228" s="190" t="s">
        <v>24</v>
      </c>
      <c r="B228" s="571" t="s">
        <v>24</v>
      </c>
      <c r="C228" s="574" t="s">
        <v>24</v>
      </c>
      <c r="D228" s="574" t="s">
        <v>24</v>
      </c>
      <c r="E228" s="574" t="s">
        <v>24</v>
      </c>
      <c r="F228" s="574" t="s">
        <v>24</v>
      </c>
      <c r="G228" s="574" t="s">
        <v>24</v>
      </c>
      <c r="H228" s="574" t="s">
        <v>24</v>
      </c>
      <c r="I228" s="574" t="s">
        <v>24</v>
      </c>
      <c r="J228" s="574" t="s">
        <v>24</v>
      </c>
      <c r="K228" s="574" t="s">
        <v>24</v>
      </c>
      <c r="L228" s="574" t="s">
        <v>24</v>
      </c>
      <c r="M228" s="574" t="s">
        <v>24</v>
      </c>
      <c r="N228" s="586" t="s">
        <v>24</v>
      </c>
      <c r="O228" s="574" t="s">
        <v>34</v>
      </c>
      <c r="P228" s="574" t="s">
        <v>452</v>
      </c>
      <c r="Q228" s="574" t="s">
        <v>453</v>
      </c>
      <c r="R228" s="574" t="s">
        <v>454</v>
      </c>
      <c r="S228" s="574" t="s">
        <v>455</v>
      </c>
      <c r="T228" s="574" t="s">
        <v>456</v>
      </c>
      <c r="U228" s="574" t="s">
        <v>457</v>
      </c>
      <c r="V228" s="574" t="s">
        <v>458</v>
      </c>
      <c r="W228" s="574" t="s">
        <v>459</v>
      </c>
      <c r="X228" s="574" t="s">
        <v>460</v>
      </c>
      <c r="Y228" s="574" t="s">
        <v>461</v>
      </c>
      <c r="Z228" s="574" t="s">
        <v>462</v>
      </c>
      <c r="AA228" s="574" t="s">
        <v>463</v>
      </c>
      <c r="AB228" s="574" t="s">
        <v>464</v>
      </c>
      <c r="AC228" s="625"/>
      <c r="AD228" s="625"/>
      <c r="AE228" s="574"/>
      <c r="AF228" s="625"/>
      <c r="AG228" s="626" t="s">
        <v>35</v>
      </c>
      <c r="AH228" s="627" t="s">
        <v>35</v>
      </c>
      <c r="AI228" s="626" t="s">
        <v>36</v>
      </c>
      <c r="AJ228" s="628" t="s">
        <v>36</v>
      </c>
    </row>
    <row r="229" spans="1:36" ht="13.5" thickBot="1" x14ac:dyDescent="0.25">
      <c r="A229" s="190" t="s">
        <v>37</v>
      </c>
      <c r="B229" s="691">
        <v>1</v>
      </c>
      <c r="C229" s="567">
        <v>0</v>
      </c>
      <c r="D229" s="186">
        <v>1</v>
      </c>
      <c r="E229" s="186">
        <v>0</v>
      </c>
      <c r="F229" s="186">
        <v>0</v>
      </c>
      <c r="G229" s="186">
        <v>0</v>
      </c>
      <c r="H229" s="186">
        <v>0</v>
      </c>
      <c r="I229" s="186">
        <v>0</v>
      </c>
      <c r="J229" s="186">
        <v>0</v>
      </c>
      <c r="K229" s="186">
        <v>0</v>
      </c>
      <c r="L229" s="186">
        <v>0</v>
      </c>
      <c r="M229" s="656" t="s">
        <v>24</v>
      </c>
      <c r="N229" s="669" t="s">
        <v>37</v>
      </c>
      <c r="O229" s="646">
        <v>0</v>
      </c>
      <c r="P229" s="186">
        <v>0</v>
      </c>
      <c r="Q229" s="186">
        <v>0</v>
      </c>
      <c r="R229" s="186">
        <v>0</v>
      </c>
      <c r="S229" s="186">
        <v>0</v>
      </c>
      <c r="T229" s="186">
        <v>0</v>
      </c>
      <c r="U229" s="186">
        <v>1</v>
      </c>
      <c r="V229" s="186">
        <v>0</v>
      </c>
      <c r="W229" s="186">
        <v>0</v>
      </c>
      <c r="X229" s="186">
        <v>0</v>
      </c>
      <c r="Y229" s="186">
        <v>0</v>
      </c>
      <c r="Z229" s="186">
        <v>0</v>
      </c>
      <c r="AA229" s="186">
        <v>0</v>
      </c>
      <c r="AB229" s="186">
        <v>0</v>
      </c>
      <c r="AC229" s="187">
        <v>36.200000000000003</v>
      </c>
      <c r="AD229" s="187" t="s">
        <v>24</v>
      </c>
      <c r="AE229" s="186">
        <v>0</v>
      </c>
      <c r="AF229" s="187">
        <v>0</v>
      </c>
      <c r="AG229" s="186">
        <v>0</v>
      </c>
      <c r="AH229" s="187">
        <v>0</v>
      </c>
      <c r="AI229" s="186">
        <v>0</v>
      </c>
      <c r="AJ229" s="647">
        <v>0</v>
      </c>
    </row>
    <row r="230" spans="1:36" x14ac:dyDescent="0.2">
      <c r="A230" s="190" t="s">
        <v>38</v>
      </c>
      <c r="B230" s="646">
        <v>0</v>
      </c>
      <c r="C230" s="184">
        <v>0</v>
      </c>
      <c r="D230" s="184">
        <v>0</v>
      </c>
      <c r="E230" s="184">
        <v>0</v>
      </c>
      <c r="F230" s="184">
        <v>0</v>
      </c>
      <c r="G230" s="184">
        <v>0</v>
      </c>
      <c r="H230" s="184">
        <v>0</v>
      </c>
      <c r="I230" s="184">
        <v>0</v>
      </c>
      <c r="J230" s="184">
        <v>0</v>
      </c>
      <c r="K230" s="184">
        <v>0</v>
      </c>
      <c r="L230" s="184">
        <v>0</v>
      </c>
      <c r="M230" s="654" t="s">
        <v>24</v>
      </c>
      <c r="N230" s="669" t="s">
        <v>38</v>
      </c>
      <c r="O230" s="642">
        <v>0</v>
      </c>
      <c r="P230" s="184">
        <v>0</v>
      </c>
      <c r="Q230" s="184">
        <v>0</v>
      </c>
      <c r="R230" s="184">
        <v>0</v>
      </c>
      <c r="S230" s="184">
        <v>0</v>
      </c>
      <c r="T230" s="184">
        <v>0</v>
      </c>
      <c r="U230" s="184">
        <v>0</v>
      </c>
      <c r="V230" s="184">
        <v>0</v>
      </c>
      <c r="W230" s="184">
        <v>0</v>
      </c>
      <c r="X230" s="184">
        <v>0</v>
      </c>
      <c r="Y230" s="184">
        <v>0</v>
      </c>
      <c r="Z230" s="184">
        <v>0</v>
      </c>
      <c r="AA230" s="184">
        <v>0</v>
      </c>
      <c r="AB230" s="184">
        <v>0</v>
      </c>
      <c r="AC230" s="185" t="s">
        <v>24</v>
      </c>
      <c r="AD230" s="185" t="s">
        <v>24</v>
      </c>
      <c r="AE230" s="184">
        <v>0</v>
      </c>
      <c r="AF230" s="185">
        <v>0</v>
      </c>
      <c r="AG230" s="184">
        <v>0</v>
      </c>
      <c r="AH230" s="185">
        <v>0</v>
      </c>
      <c r="AI230" s="184">
        <v>0</v>
      </c>
      <c r="AJ230" s="643">
        <v>0</v>
      </c>
    </row>
    <row r="231" spans="1:36" x14ac:dyDescent="0.2">
      <c r="A231" s="190" t="s">
        <v>40</v>
      </c>
      <c r="B231" s="642">
        <v>0</v>
      </c>
      <c r="C231" s="184">
        <v>0</v>
      </c>
      <c r="D231" s="184">
        <v>0</v>
      </c>
      <c r="E231" s="184">
        <v>0</v>
      </c>
      <c r="F231" s="184">
        <v>0</v>
      </c>
      <c r="G231" s="184">
        <v>0</v>
      </c>
      <c r="H231" s="184">
        <v>0</v>
      </c>
      <c r="I231" s="184">
        <v>0</v>
      </c>
      <c r="J231" s="184">
        <v>0</v>
      </c>
      <c r="K231" s="184">
        <v>0</v>
      </c>
      <c r="L231" s="184">
        <v>0</v>
      </c>
      <c r="M231" s="654" t="s">
        <v>24</v>
      </c>
      <c r="N231" s="669" t="s">
        <v>40</v>
      </c>
      <c r="O231" s="642">
        <v>0</v>
      </c>
      <c r="P231" s="184">
        <v>0</v>
      </c>
      <c r="Q231" s="184">
        <v>0</v>
      </c>
      <c r="R231" s="184">
        <v>0</v>
      </c>
      <c r="S231" s="184">
        <v>0</v>
      </c>
      <c r="T231" s="184">
        <v>0</v>
      </c>
      <c r="U231" s="184">
        <v>0</v>
      </c>
      <c r="V231" s="184">
        <v>0</v>
      </c>
      <c r="W231" s="184">
        <v>0</v>
      </c>
      <c r="X231" s="184">
        <v>0</v>
      </c>
      <c r="Y231" s="184">
        <v>0</v>
      </c>
      <c r="Z231" s="184">
        <v>0</v>
      </c>
      <c r="AA231" s="184">
        <v>0</v>
      </c>
      <c r="AB231" s="184">
        <v>0</v>
      </c>
      <c r="AC231" s="185" t="s">
        <v>24</v>
      </c>
      <c r="AD231" s="185" t="s">
        <v>24</v>
      </c>
      <c r="AE231" s="184">
        <v>0</v>
      </c>
      <c r="AF231" s="185">
        <v>0</v>
      </c>
      <c r="AG231" s="184">
        <v>0</v>
      </c>
      <c r="AH231" s="185">
        <v>0</v>
      </c>
      <c r="AI231" s="184">
        <v>0</v>
      </c>
      <c r="AJ231" s="643">
        <v>0</v>
      </c>
    </row>
    <row r="232" spans="1:36" x14ac:dyDescent="0.2">
      <c r="A232" s="190" t="s">
        <v>42</v>
      </c>
      <c r="B232" s="642">
        <v>1</v>
      </c>
      <c r="C232" s="184">
        <v>0</v>
      </c>
      <c r="D232" s="184">
        <v>1</v>
      </c>
      <c r="E232" s="184">
        <v>0</v>
      </c>
      <c r="F232" s="184">
        <v>0</v>
      </c>
      <c r="G232" s="184">
        <v>0</v>
      </c>
      <c r="H232" s="184">
        <v>0</v>
      </c>
      <c r="I232" s="184">
        <v>0</v>
      </c>
      <c r="J232" s="184">
        <v>0</v>
      </c>
      <c r="K232" s="184">
        <v>0</v>
      </c>
      <c r="L232" s="184">
        <v>0</v>
      </c>
      <c r="M232" s="654" t="s">
        <v>24</v>
      </c>
      <c r="N232" s="669" t="s">
        <v>42</v>
      </c>
      <c r="O232" s="642">
        <v>0</v>
      </c>
      <c r="P232" s="184">
        <v>0</v>
      </c>
      <c r="Q232" s="184">
        <v>0</v>
      </c>
      <c r="R232" s="184">
        <v>0</v>
      </c>
      <c r="S232" s="184">
        <v>0</v>
      </c>
      <c r="T232" s="184">
        <v>0</v>
      </c>
      <c r="U232" s="184">
        <v>0</v>
      </c>
      <c r="V232" s="184">
        <v>0</v>
      </c>
      <c r="W232" s="184">
        <v>0</v>
      </c>
      <c r="X232" s="184">
        <v>1</v>
      </c>
      <c r="Y232" s="184">
        <v>0</v>
      </c>
      <c r="Z232" s="184">
        <v>0</v>
      </c>
      <c r="AA232" s="184">
        <v>0</v>
      </c>
      <c r="AB232" s="184">
        <v>0</v>
      </c>
      <c r="AC232" s="185">
        <v>52.2</v>
      </c>
      <c r="AD232" s="185" t="s">
        <v>24</v>
      </c>
      <c r="AE232" s="184">
        <v>0</v>
      </c>
      <c r="AF232" s="185">
        <v>0</v>
      </c>
      <c r="AG232" s="184">
        <v>0</v>
      </c>
      <c r="AH232" s="185">
        <v>0</v>
      </c>
      <c r="AI232" s="184">
        <v>0</v>
      </c>
      <c r="AJ232" s="643">
        <v>0</v>
      </c>
    </row>
    <row r="233" spans="1:36" x14ac:dyDescent="0.2">
      <c r="A233" s="190" t="s">
        <v>39</v>
      </c>
      <c r="B233" s="642">
        <v>0</v>
      </c>
      <c r="C233" s="184">
        <v>0</v>
      </c>
      <c r="D233" s="184">
        <v>0</v>
      </c>
      <c r="E233" s="184">
        <v>0</v>
      </c>
      <c r="F233" s="184">
        <v>0</v>
      </c>
      <c r="G233" s="184">
        <v>0</v>
      </c>
      <c r="H233" s="184">
        <v>0</v>
      </c>
      <c r="I233" s="184">
        <v>0</v>
      </c>
      <c r="J233" s="184">
        <v>0</v>
      </c>
      <c r="K233" s="184">
        <v>0</v>
      </c>
      <c r="L233" s="184">
        <v>0</v>
      </c>
      <c r="M233" s="654" t="s">
        <v>24</v>
      </c>
      <c r="N233" s="669" t="s">
        <v>39</v>
      </c>
      <c r="O233" s="642">
        <v>0</v>
      </c>
      <c r="P233" s="184">
        <v>0</v>
      </c>
      <c r="Q233" s="184">
        <v>0</v>
      </c>
      <c r="R233" s="184">
        <v>0</v>
      </c>
      <c r="S233" s="184">
        <v>0</v>
      </c>
      <c r="T233" s="184">
        <v>0</v>
      </c>
      <c r="U233" s="184">
        <v>0</v>
      </c>
      <c r="V233" s="184">
        <v>0</v>
      </c>
      <c r="W233" s="184">
        <v>0</v>
      </c>
      <c r="X233" s="184">
        <v>0</v>
      </c>
      <c r="Y233" s="184">
        <v>0</v>
      </c>
      <c r="Z233" s="184">
        <v>0</v>
      </c>
      <c r="AA233" s="184">
        <v>0</v>
      </c>
      <c r="AB233" s="184">
        <v>0</v>
      </c>
      <c r="AC233" s="185" t="s">
        <v>24</v>
      </c>
      <c r="AD233" s="185" t="s">
        <v>24</v>
      </c>
      <c r="AE233" s="184">
        <v>0</v>
      </c>
      <c r="AF233" s="185">
        <v>0</v>
      </c>
      <c r="AG233" s="184">
        <v>0</v>
      </c>
      <c r="AH233" s="185">
        <v>0</v>
      </c>
      <c r="AI233" s="184">
        <v>0</v>
      </c>
      <c r="AJ233" s="643">
        <v>0</v>
      </c>
    </row>
    <row r="234" spans="1:36" x14ac:dyDescent="0.2">
      <c r="A234" s="190" t="s">
        <v>45</v>
      </c>
      <c r="B234" s="642">
        <v>0</v>
      </c>
      <c r="C234" s="184">
        <v>0</v>
      </c>
      <c r="D234" s="184">
        <v>0</v>
      </c>
      <c r="E234" s="184">
        <v>0</v>
      </c>
      <c r="F234" s="184">
        <v>0</v>
      </c>
      <c r="G234" s="184">
        <v>0</v>
      </c>
      <c r="H234" s="184">
        <v>0</v>
      </c>
      <c r="I234" s="184">
        <v>0</v>
      </c>
      <c r="J234" s="184">
        <v>0</v>
      </c>
      <c r="K234" s="184">
        <v>0</v>
      </c>
      <c r="L234" s="184">
        <v>0</v>
      </c>
      <c r="M234" s="654" t="s">
        <v>24</v>
      </c>
      <c r="N234" s="669" t="s">
        <v>45</v>
      </c>
      <c r="O234" s="642">
        <v>0</v>
      </c>
      <c r="P234" s="184">
        <v>0</v>
      </c>
      <c r="Q234" s="184">
        <v>0</v>
      </c>
      <c r="R234" s="184">
        <v>0</v>
      </c>
      <c r="S234" s="184">
        <v>0</v>
      </c>
      <c r="T234" s="184">
        <v>0</v>
      </c>
      <c r="U234" s="184">
        <v>0</v>
      </c>
      <c r="V234" s="184">
        <v>0</v>
      </c>
      <c r="W234" s="184">
        <v>0</v>
      </c>
      <c r="X234" s="184">
        <v>0</v>
      </c>
      <c r="Y234" s="184">
        <v>0</v>
      </c>
      <c r="Z234" s="184">
        <v>0</v>
      </c>
      <c r="AA234" s="184">
        <v>0</v>
      </c>
      <c r="AB234" s="184">
        <v>0</v>
      </c>
      <c r="AC234" s="185" t="s">
        <v>24</v>
      </c>
      <c r="AD234" s="185" t="s">
        <v>24</v>
      </c>
      <c r="AE234" s="184">
        <v>0</v>
      </c>
      <c r="AF234" s="185">
        <v>0</v>
      </c>
      <c r="AG234" s="184">
        <v>0</v>
      </c>
      <c r="AH234" s="185">
        <v>0</v>
      </c>
      <c r="AI234" s="184">
        <v>0</v>
      </c>
      <c r="AJ234" s="643">
        <v>0</v>
      </c>
    </row>
    <row r="235" spans="1:36" x14ac:dyDescent="0.2">
      <c r="A235" s="190" t="s">
        <v>47</v>
      </c>
      <c r="B235" s="642">
        <v>0</v>
      </c>
      <c r="C235" s="184">
        <v>0</v>
      </c>
      <c r="D235" s="184">
        <v>0</v>
      </c>
      <c r="E235" s="184">
        <v>0</v>
      </c>
      <c r="F235" s="184">
        <v>0</v>
      </c>
      <c r="G235" s="184">
        <v>0</v>
      </c>
      <c r="H235" s="184">
        <v>0</v>
      </c>
      <c r="I235" s="184">
        <v>0</v>
      </c>
      <c r="J235" s="184">
        <v>0</v>
      </c>
      <c r="K235" s="184">
        <v>0</v>
      </c>
      <c r="L235" s="184">
        <v>0</v>
      </c>
      <c r="M235" s="654" t="s">
        <v>24</v>
      </c>
      <c r="N235" s="669" t="s">
        <v>47</v>
      </c>
      <c r="O235" s="642">
        <v>0</v>
      </c>
      <c r="P235" s="184">
        <v>0</v>
      </c>
      <c r="Q235" s="184">
        <v>0</v>
      </c>
      <c r="R235" s="184">
        <v>0</v>
      </c>
      <c r="S235" s="184">
        <v>0</v>
      </c>
      <c r="T235" s="184">
        <v>0</v>
      </c>
      <c r="U235" s="184">
        <v>0</v>
      </c>
      <c r="V235" s="184">
        <v>0</v>
      </c>
      <c r="W235" s="184">
        <v>0</v>
      </c>
      <c r="X235" s="184">
        <v>0</v>
      </c>
      <c r="Y235" s="184">
        <v>0</v>
      </c>
      <c r="Z235" s="184">
        <v>0</v>
      </c>
      <c r="AA235" s="184">
        <v>0</v>
      </c>
      <c r="AB235" s="184">
        <v>0</v>
      </c>
      <c r="AC235" s="185" t="s">
        <v>24</v>
      </c>
      <c r="AD235" s="185" t="s">
        <v>24</v>
      </c>
      <c r="AE235" s="184">
        <v>0</v>
      </c>
      <c r="AF235" s="185">
        <v>0</v>
      </c>
      <c r="AG235" s="184">
        <v>0</v>
      </c>
      <c r="AH235" s="185">
        <v>0</v>
      </c>
      <c r="AI235" s="184">
        <v>0</v>
      </c>
      <c r="AJ235" s="643">
        <v>0</v>
      </c>
    </row>
    <row r="236" spans="1:36" x14ac:dyDescent="0.2">
      <c r="A236" s="190" t="s">
        <v>49</v>
      </c>
      <c r="B236" s="642">
        <v>0</v>
      </c>
      <c r="C236" s="184">
        <v>0</v>
      </c>
      <c r="D236" s="184">
        <v>0</v>
      </c>
      <c r="E236" s="184">
        <v>0</v>
      </c>
      <c r="F236" s="184">
        <v>0</v>
      </c>
      <c r="G236" s="184">
        <v>0</v>
      </c>
      <c r="H236" s="184">
        <v>0</v>
      </c>
      <c r="I236" s="184">
        <v>0</v>
      </c>
      <c r="J236" s="184">
        <v>0</v>
      </c>
      <c r="K236" s="184">
        <v>0</v>
      </c>
      <c r="L236" s="184">
        <v>0</v>
      </c>
      <c r="M236" s="654" t="s">
        <v>24</v>
      </c>
      <c r="N236" s="669" t="s">
        <v>49</v>
      </c>
      <c r="O236" s="642">
        <v>0</v>
      </c>
      <c r="P236" s="184">
        <v>0</v>
      </c>
      <c r="Q236" s="184">
        <v>0</v>
      </c>
      <c r="R236" s="184">
        <v>0</v>
      </c>
      <c r="S236" s="184">
        <v>0</v>
      </c>
      <c r="T236" s="184">
        <v>0</v>
      </c>
      <c r="U236" s="184">
        <v>0</v>
      </c>
      <c r="V236" s="184">
        <v>0</v>
      </c>
      <c r="W236" s="184">
        <v>0</v>
      </c>
      <c r="X236" s="184">
        <v>0</v>
      </c>
      <c r="Y236" s="184">
        <v>0</v>
      </c>
      <c r="Z236" s="184">
        <v>0</v>
      </c>
      <c r="AA236" s="184">
        <v>0</v>
      </c>
      <c r="AB236" s="184">
        <v>0</v>
      </c>
      <c r="AC236" s="185" t="s">
        <v>24</v>
      </c>
      <c r="AD236" s="185" t="s">
        <v>24</v>
      </c>
      <c r="AE236" s="184">
        <v>0</v>
      </c>
      <c r="AF236" s="185">
        <v>0</v>
      </c>
      <c r="AG236" s="184">
        <v>0</v>
      </c>
      <c r="AH236" s="185">
        <v>0</v>
      </c>
      <c r="AI236" s="184">
        <v>0</v>
      </c>
      <c r="AJ236" s="643">
        <v>0</v>
      </c>
    </row>
    <row r="237" spans="1:36" x14ac:dyDescent="0.2">
      <c r="A237" s="190" t="s">
        <v>41</v>
      </c>
      <c r="B237" s="642">
        <v>0</v>
      </c>
      <c r="C237" s="184">
        <v>0</v>
      </c>
      <c r="D237" s="184">
        <v>0</v>
      </c>
      <c r="E237" s="184">
        <v>0</v>
      </c>
      <c r="F237" s="184">
        <v>0</v>
      </c>
      <c r="G237" s="184">
        <v>0</v>
      </c>
      <c r="H237" s="184">
        <v>0</v>
      </c>
      <c r="I237" s="184">
        <v>0</v>
      </c>
      <c r="J237" s="184">
        <v>0</v>
      </c>
      <c r="K237" s="184">
        <v>0</v>
      </c>
      <c r="L237" s="184">
        <v>0</v>
      </c>
      <c r="M237" s="654" t="s">
        <v>24</v>
      </c>
      <c r="N237" s="669" t="s">
        <v>41</v>
      </c>
      <c r="O237" s="642">
        <v>0</v>
      </c>
      <c r="P237" s="184">
        <v>0</v>
      </c>
      <c r="Q237" s="184">
        <v>0</v>
      </c>
      <c r="R237" s="184">
        <v>0</v>
      </c>
      <c r="S237" s="184">
        <v>0</v>
      </c>
      <c r="T237" s="184">
        <v>0</v>
      </c>
      <c r="U237" s="184">
        <v>0</v>
      </c>
      <c r="V237" s="184">
        <v>0</v>
      </c>
      <c r="W237" s="184">
        <v>0</v>
      </c>
      <c r="X237" s="184">
        <v>0</v>
      </c>
      <c r="Y237" s="184">
        <v>0</v>
      </c>
      <c r="Z237" s="184">
        <v>0</v>
      </c>
      <c r="AA237" s="184">
        <v>0</v>
      </c>
      <c r="AB237" s="184">
        <v>0</v>
      </c>
      <c r="AC237" s="185" t="s">
        <v>24</v>
      </c>
      <c r="AD237" s="185" t="s">
        <v>24</v>
      </c>
      <c r="AE237" s="184">
        <v>0</v>
      </c>
      <c r="AF237" s="185">
        <v>0</v>
      </c>
      <c r="AG237" s="184">
        <v>0</v>
      </c>
      <c r="AH237" s="185">
        <v>0</v>
      </c>
      <c r="AI237" s="184">
        <v>0</v>
      </c>
      <c r="AJ237" s="643">
        <v>0</v>
      </c>
    </row>
    <row r="238" spans="1:36" x14ac:dyDescent="0.2">
      <c r="A238" s="190" t="s">
        <v>52</v>
      </c>
      <c r="B238" s="642">
        <v>0</v>
      </c>
      <c r="C238" s="184">
        <v>0</v>
      </c>
      <c r="D238" s="184">
        <v>0</v>
      </c>
      <c r="E238" s="184">
        <v>0</v>
      </c>
      <c r="F238" s="184">
        <v>0</v>
      </c>
      <c r="G238" s="184">
        <v>0</v>
      </c>
      <c r="H238" s="184">
        <v>0</v>
      </c>
      <c r="I238" s="184">
        <v>0</v>
      </c>
      <c r="J238" s="184">
        <v>0</v>
      </c>
      <c r="K238" s="184">
        <v>0</v>
      </c>
      <c r="L238" s="184">
        <v>0</v>
      </c>
      <c r="M238" s="654" t="s">
        <v>24</v>
      </c>
      <c r="N238" s="669" t="s">
        <v>52</v>
      </c>
      <c r="O238" s="642">
        <v>0</v>
      </c>
      <c r="P238" s="184">
        <v>0</v>
      </c>
      <c r="Q238" s="184">
        <v>0</v>
      </c>
      <c r="R238" s="184">
        <v>0</v>
      </c>
      <c r="S238" s="184">
        <v>0</v>
      </c>
      <c r="T238" s="184">
        <v>0</v>
      </c>
      <c r="U238" s="184">
        <v>0</v>
      </c>
      <c r="V238" s="184">
        <v>0</v>
      </c>
      <c r="W238" s="184">
        <v>0</v>
      </c>
      <c r="X238" s="184">
        <v>0</v>
      </c>
      <c r="Y238" s="184">
        <v>0</v>
      </c>
      <c r="Z238" s="184">
        <v>0</v>
      </c>
      <c r="AA238" s="184">
        <v>0</v>
      </c>
      <c r="AB238" s="184">
        <v>0</v>
      </c>
      <c r="AC238" s="185" t="s">
        <v>24</v>
      </c>
      <c r="AD238" s="185" t="s">
        <v>24</v>
      </c>
      <c r="AE238" s="184">
        <v>0</v>
      </c>
      <c r="AF238" s="185">
        <v>0</v>
      </c>
      <c r="AG238" s="184">
        <v>0</v>
      </c>
      <c r="AH238" s="185">
        <v>0</v>
      </c>
      <c r="AI238" s="184">
        <v>0</v>
      </c>
      <c r="AJ238" s="643">
        <v>0</v>
      </c>
    </row>
    <row r="239" spans="1:36" x14ac:dyDescent="0.2">
      <c r="A239" s="190" t="s">
        <v>54</v>
      </c>
      <c r="B239" s="642">
        <v>0</v>
      </c>
      <c r="C239" s="184">
        <v>0</v>
      </c>
      <c r="D239" s="184">
        <v>0</v>
      </c>
      <c r="E239" s="184">
        <v>0</v>
      </c>
      <c r="F239" s="184">
        <v>0</v>
      </c>
      <c r="G239" s="184">
        <v>0</v>
      </c>
      <c r="H239" s="184">
        <v>0</v>
      </c>
      <c r="I239" s="184">
        <v>0</v>
      </c>
      <c r="J239" s="184">
        <v>0</v>
      </c>
      <c r="K239" s="184">
        <v>0</v>
      </c>
      <c r="L239" s="184">
        <v>0</v>
      </c>
      <c r="M239" s="654" t="s">
        <v>24</v>
      </c>
      <c r="N239" s="669" t="s">
        <v>54</v>
      </c>
      <c r="O239" s="642">
        <v>0</v>
      </c>
      <c r="P239" s="184">
        <v>0</v>
      </c>
      <c r="Q239" s="184">
        <v>0</v>
      </c>
      <c r="R239" s="184">
        <v>0</v>
      </c>
      <c r="S239" s="184">
        <v>0</v>
      </c>
      <c r="T239" s="184">
        <v>0</v>
      </c>
      <c r="U239" s="184">
        <v>0</v>
      </c>
      <c r="V239" s="184">
        <v>0</v>
      </c>
      <c r="W239" s="184">
        <v>0</v>
      </c>
      <c r="X239" s="184">
        <v>0</v>
      </c>
      <c r="Y239" s="184">
        <v>0</v>
      </c>
      <c r="Z239" s="184">
        <v>0</v>
      </c>
      <c r="AA239" s="184">
        <v>0</v>
      </c>
      <c r="AB239" s="184">
        <v>0</v>
      </c>
      <c r="AC239" s="185" t="s">
        <v>24</v>
      </c>
      <c r="AD239" s="185" t="s">
        <v>24</v>
      </c>
      <c r="AE239" s="184">
        <v>0</v>
      </c>
      <c r="AF239" s="185">
        <v>0</v>
      </c>
      <c r="AG239" s="184">
        <v>0</v>
      </c>
      <c r="AH239" s="185">
        <v>0</v>
      </c>
      <c r="AI239" s="184">
        <v>0</v>
      </c>
      <c r="AJ239" s="643">
        <v>0</v>
      </c>
    </row>
    <row r="240" spans="1:36" x14ac:dyDescent="0.2">
      <c r="A240" s="190" t="s">
        <v>56</v>
      </c>
      <c r="B240" s="642">
        <v>0</v>
      </c>
      <c r="C240" s="184">
        <v>0</v>
      </c>
      <c r="D240" s="184">
        <v>0</v>
      </c>
      <c r="E240" s="184">
        <v>0</v>
      </c>
      <c r="F240" s="184">
        <v>0</v>
      </c>
      <c r="G240" s="184">
        <v>0</v>
      </c>
      <c r="H240" s="184">
        <v>0</v>
      </c>
      <c r="I240" s="184">
        <v>0</v>
      </c>
      <c r="J240" s="184">
        <v>0</v>
      </c>
      <c r="K240" s="184">
        <v>0</v>
      </c>
      <c r="L240" s="184">
        <v>0</v>
      </c>
      <c r="M240" s="654" t="s">
        <v>24</v>
      </c>
      <c r="N240" s="669" t="s">
        <v>56</v>
      </c>
      <c r="O240" s="642">
        <v>0</v>
      </c>
      <c r="P240" s="184">
        <v>0</v>
      </c>
      <c r="Q240" s="184">
        <v>0</v>
      </c>
      <c r="R240" s="184">
        <v>0</v>
      </c>
      <c r="S240" s="184">
        <v>0</v>
      </c>
      <c r="T240" s="184">
        <v>0</v>
      </c>
      <c r="U240" s="184">
        <v>0</v>
      </c>
      <c r="V240" s="184">
        <v>0</v>
      </c>
      <c r="W240" s="184">
        <v>0</v>
      </c>
      <c r="X240" s="184">
        <v>0</v>
      </c>
      <c r="Y240" s="184">
        <v>0</v>
      </c>
      <c r="Z240" s="184">
        <v>0</v>
      </c>
      <c r="AA240" s="184">
        <v>0</v>
      </c>
      <c r="AB240" s="184">
        <v>0</v>
      </c>
      <c r="AC240" s="185" t="s">
        <v>24</v>
      </c>
      <c r="AD240" s="185" t="s">
        <v>24</v>
      </c>
      <c r="AE240" s="184">
        <v>0</v>
      </c>
      <c r="AF240" s="185">
        <v>0</v>
      </c>
      <c r="AG240" s="184">
        <v>0</v>
      </c>
      <c r="AH240" s="185">
        <v>0</v>
      </c>
      <c r="AI240" s="184">
        <v>0</v>
      </c>
      <c r="AJ240" s="643">
        <v>0</v>
      </c>
    </row>
    <row r="241" spans="1:36" x14ac:dyDescent="0.2">
      <c r="A241" s="190" t="s">
        <v>43</v>
      </c>
      <c r="B241" s="642">
        <v>0</v>
      </c>
      <c r="C241" s="184">
        <v>0</v>
      </c>
      <c r="D241" s="184">
        <v>0</v>
      </c>
      <c r="E241" s="184">
        <v>0</v>
      </c>
      <c r="F241" s="184">
        <v>0</v>
      </c>
      <c r="G241" s="184">
        <v>0</v>
      </c>
      <c r="H241" s="184">
        <v>0</v>
      </c>
      <c r="I241" s="184">
        <v>0</v>
      </c>
      <c r="J241" s="184">
        <v>0</v>
      </c>
      <c r="K241" s="184">
        <v>0</v>
      </c>
      <c r="L241" s="184">
        <v>0</v>
      </c>
      <c r="M241" s="654" t="s">
        <v>24</v>
      </c>
      <c r="N241" s="669" t="s">
        <v>43</v>
      </c>
      <c r="O241" s="642">
        <v>0</v>
      </c>
      <c r="P241" s="184">
        <v>0</v>
      </c>
      <c r="Q241" s="184">
        <v>0</v>
      </c>
      <c r="R241" s="184">
        <v>0</v>
      </c>
      <c r="S241" s="184">
        <v>0</v>
      </c>
      <c r="T241" s="184">
        <v>0</v>
      </c>
      <c r="U241" s="184">
        <v>0</v>
      </c>
      <c r="V241" s="184">
        <v>0</v>
      </c>
      <c r="W241" s="184">
        <v>0</v>
      </c>
      <c r="X241" s="184">
        <v>0</v>
      </c>
      <c r="Y241" s="184">
        <v>0</v>
      </c>
      <c r="Z241" s="184">
        <v>0</v>
      </c>
      <c r="AA241" s="184">
        <v>0</v>
      </c>
      <c r="AB241" s="184">
        <v>0</v>
      </c>
      <c r="AC241" s="185" t="s">
        <v>24</v>
      </c>
      <c r="AD241" s="185" t="s">
        <v>24</v>
      </c>
      <c r="AE241" s="184">
        <v>0</v>
      </c>
      <c r="AF241" s="185">
        <v>0</v>
      </c>
      <c r="AG241" s="184">
        <v>0</v>
      </c>
      <c r="AH241" s="185">
        <v>0</v>
      </c>
      <c r="AI241" s="184">
        <v>0</v>
      </c>
      <c r="AJ241" s="643">
        <v>0</v>
      </c>
    </row>
    <row r="242" spans="1:36" x14ac:dyDescent="0.2">
      <c r="A242" s="190" t="s">
        <v>59</v>
      </c>
      <c r="B242" s="642">
        <v>0</v>
      </c>
      <c r="C242" s="184">
        <v>0</v>
      </c>
      <c r="D242" s="184">
        <v>0</v>
      </c>
      <c r="E242" s="184">
        <v>0</v>
      </c>
      <c r="F242" s="184">
        <v>0</v>
      </c>
      <c r="G242" s="184">
        <v>0</v>
      </c>
      <c r="H242" s="184">
        <v>0</v>
      </c>
      <c r="I242" s="184">
        <v>0</v>
      </c>
      <c r="J242" s="184">
        <v>0</v>
      </c>
      <c r="K242" s="184">
        <v>0</v>
      </c>
      <c r="L242" s="184">
        <v>0</v>
      </c>
      <c r="M242" s="654" t="s">
        <v>24</v>
      </c>
      <c r="N242" s="669" t="s">
        <v>59</v>
      </c>
      <c r="O242" s="642">
        <v>0</v>
      </c>
      <c r="P242" s="184">
        <v>0</v>
      </c>
      <c r="Q242" s="184">
        <v>0</v>
      </c>
      <c r="R242" s="184">
        <v>0</v>
      </c>
      <c r="S242" s="184">
        <v>0</v>
      </c>
      <c r="T242" s="184">
        <v>0</v>
      </c>
      <c r="U242" s="184">
        <v>0</v>
      </c>
      <c r="V242" s="184">
        <v>0</v>
      </c>
      <c r="W242" s="184">
        <v>0</v>
      </c>
      <c r="X242" s="184">
        <v>0</v>
      </c>
      <c r="Y242" s="184">
        <v>0</v>
      </c>
      <c r="Z242" s="184">
        <v>0</v>
      </c>
      <c r="AA242" s="184">
        <v>0</v>
      </c>
      <c r="AB242" s="184">
        <v>0</v>
      </c>
      <c r="AC242" s="185" t="s">
        <v>24</v>
      </c>
      <c r="AD242" s="185" t="s">
        <v>24</v>
      </c>
      <c r="AE242" s="184">
        <v>0</v>
      </c>
      <c r="AF242" s="185">
        <v>0</v>
      </c>
      <c r="AG242" s="184">
        <v>0</v>
      </c>
      <c r="AH242" s="185">
        <v>0</v>
      </c>
      <c r="AI242" s="184">
        <v>0</v>
      </c>
      <c r="AJ242" s="643">
        <v>0</v>
      </c>
    </row>
    <row r="243" spans="1:36" x14ac:dyDescent="0.2">
      <c r="A243" s="190" t="s">
        <v>61</v>
      </c>
      <c r="B243" s="642">
        <v>0</v>
      </c>
      <c r="C243" s="184">
        <v>0</v>
      </c>
      <c r="D243" s="184">
        <v>0</v>
      </c>
      <c r="E243" s="184">
        <v>0</v>
      </c>
      <c r="F243" s="184">
        <v>0</v>
      </c>
      <c r="G243" s="184">
        <v>0</v>
      </c>
      <c r="H243" s="184">
        <v>0</v>
      </c>
      <c r="I243" s="184">
        <v>0</v>
      </c>
      <c r="J243" s="184">
        <v>0</v>
      </c>
      <c r="K243" s="184">
        <v>0</v>
      </c>
      <c r="L243" s="184">
        <v>0</v>
      </c>
      <c r="M243" s="654" t="s">
        <v>24</v>
      </c>
      <c r="N243" s="669" t="s">
        <v>61</v>
      </c>
      <c r="O243" s="642">
        <v>0</v>
      </c>
      <c r="P243" s="184">
        <v>0</v>
      </c>
      <c r="Q243" s="184">
        <v>0</v>
      </c>
      <c r="R243" s="184">
        <v>0</v>
      </c>
      <c r="S243" s="184">
        <v>0</v>
      </c>
      <c r="T243" s="184">
        <v>0</v>
      </c>
      <c r="U243" s="184">
        <v>0</v>
      </c>
      <c r="V243" s="184">
        <v>0</v>
      </c>
      <c r="W243" s="184">
        <v>0</v>
      </c>
      <c r="X243" s="184">
        <v>0</v>
      </c>
      <c r="Y243" s="184">
        <v>0</v>
      </c>
      <c r="Z243" s="184">
        <v>0</v>
      </c>
      <c r="AA243" s="184">
        <v>0</v>
      </c>
      <c r="AB243" s="184">
        <v>0</v>
      </c>
      <c r="AC243" s="185" t="s">
        <v>24</v>
      </c>
      <c r="AD243" s="185" t="s">
        <v>24</v>
      </c>
      <c r="AE243" s="184">
        <v>0</v>
      </c>
      <c r="AF243" s="185">
        <v>0</v>
      </c>
      <c r="AG243" s="184">
        <v>0</v>
      </c>
      <c r="AH243" s="185">
        <v>0</v>
      </c>
      <c r="AI243" s="184">
        <v>0</v>
      </c>
      <c r="AJ243" s="643">
        <v>0</v>
      </c>
    </row>
    <row r="244" spans="1:36" x14ac:dyDescent="0.2">
      <c r="A244" s="190" t="s">
        <v>63</v>
      </c>
      <c r="B244" s="642">
        <v>1</v>
      </c>
      <c r="C244" s="184">
        <v>0</v>
      </c>
      <c r="D244" s="184">
        <v>1</v>
      </c>
      <c r="E244" s="184">
        <v>0</v>
      </c>
      <c r="F244" s="184">
        <v>0</v>
      </c>
      <c r="G244" s="184">
        <v>0</v>
      </c>
      <c r="H244" s="184">
        <v>0</v>
      </c>
      <c r="I244" s="184">
        <v>0</v>
      </c>
      <c r="J244" s="184">
        <v>0</v>
      </c>
      <c r="K244" s="184">
        <v>0</v>
      </c>
      <c r="L244" s="184">
        <v>0</v>
      </c>
      <c r="M244" s="654" t="s">
        <v>24</v>
      </c>
      <c r="N244" s="669" t="s">
        <v>63</v>
      </c>
      <c r="O244" s="642">
        <v>0</v>
      </c>
      <c r="P244" s="184">
        <v>0</v>
      </c>
      <c r="Q244" s="184">
        <v>0</v>
      </c>
      <c r="R244" s="184">
        <v>0</v>
      </c>
      <c r="S244" s="184">
        <v>0</v>
      </c>
      <c r="T244" s="184">
        <v>0</v>
      </c>
      <c r="U244" s="184">
        <v>1</v>
      </c>
      <c r="V244" s="184">
        <v>0</v>
      </c>
      <c r="W244" s="184">
        <v>0</v>
      </c>
      <c r="X244" s="184">
        <v>0</v>
      </c>
      <c r="Y244" s="184">
        <v>0</v>
      </c>
      <c r="Z244" s="184">
        <v>0</v>
      </c>
      <c r="AA244" s="184">
        <v>0</v>
      </c>
      <c r="AB244" s="184">
        <v>0</v>
      </c>
      <c r="AC244" s="185">
        <v>38</v>
      </c>
      <c r="AD244" s="185" t="s">
        <v>24</v>
      </c>
      <c r="AE244" s="184">
        <v>0</v>
      </c>
      <c r="AF244" s="185">
        <v>0</v>
      </c>
      <c r="AG244" s="184">
        <v>0</v>
      </c>
      <c r="AH244" s="185">
        <v>0</v>
      </c>
      <c r="AI244" s="184">
        <v>0</v>
      </c>
      <c r="AJ244" s="643">
        <v>0</v>
      </c>
    </row>
    <row r="245" spans="1:36" x14ac:dyDescent="0.2">
      <c r="A245" s="190" t="s">
        <v>44</v>
      </c>
      <c r="B245" s="642">
        <v>0</v>
      </c>
      <c r="C245" s="184">
        <v>0</v>
      </c>
      <c r="D245" s="184">
        <v>0</v>
      </c>
      <c r="E245" s="184">
        <v>0</v>
      </c>
      <c r="F245" s="184">
        <v>0</v>
      </c>
      <c r="G245" s="184">
        <v>0</v>
      </c>
      <c r="H245" s="184">
        <v>0</v>
      </c>
      <c r="I245" s="184">
        <v>0</v>
      </c>
      <c r="J245" s="184">
        <v>0</v>
      </c>
      <c r="K245" s="184">
        <v>0</v>
      </c>
      <c r="L245" s="184">
        <v>0</v>
      </c>
      <c r="M245" s="654" t="s">
        <v>24</v>
      </c>
      <c r="N245" s="669" t="s">
        <v>44</v>
      </c>
      <c r="O245" s="642">
        <v>0</v>
      </c>
      <c r="P245" s="184">
        <v>0</v>
      </c>
      <c r="Q245" s="184">
        <v>0</v>
      </c>
      <c r="R245" s="184">
        <v>0</v>
      </c>
      <c r="S245" s="184">
        <v>0</v>
      </c>
      <c r="T245" s="184">
        <v>0</v>
      </c>
      <c r="U245" s="184">
        <v>0</v>
      </c>
      <c r="V245" s="184">
        <v>0</v>
      </c>
      <c r="W245" s="184">
        <v>0</v>
      </c>
      <c r="X245" s="184">
        <v>0</v>
      </c>
      <c r="Y245" s="184">
        <v>0</v>
      </c>
      <c r="Z245" s="184">
        <v>0</v>
      </c>
      <c r="AA245" s="184">
        <v>0</v>
      </c>
      <c r="AB245" s="184">
        <v>0</v>
      </c>
      <c r="AC245" s="185" t="s">
        <v>24</v>
      </c>
      <c r="AD245" s="185" t="s">
        <v>24</v>
      </c>
      <c r="AE245" s="184">
        <v>0</v>
      </c>
      <c r="AF245" s="185">
        <v>0</v>
      </c>
      <c r="AG245" s="184">
        <v>0</v>
      </c>
      <c r="AH245" s="185">
        <v>0</v>
      </c>
      <c r="AI245" s="184">
        <v>0</v>
      </c>
      <c r="AJ245" s="643">
        <v>0</v>
      </c>
    </row>
    <row r="246" spans="1:36" x14ac:dyDescent="0.2">
      <c r="A246" s="190" t="s">
        <v>66</v>
      </c>
      <c r="B246" s="642">
        <v>1</v>
      </c>
      <c r="C246" s="184">
        <v>0</v>
      </c>
      <c r="D246" s="184">
        <v>1</v>
      </c>
      <c r="E246" s="184">
        <v>0</v>
      </c>
      <c r="F246" s="184">
        <v>0</v>
      </c>
      <c r="G246" s="184">
        <v>0</v>
      </c>
      <c r="H246" s="184">
        <v>0</v>
      </c>
      <c r="I246" s="184">
        <v>0</v>
      </c>
      <c r="J246" s="184">
        <v>0</v>
      </c>
      <c r="K246" s="184">
        <v>0</v>
      </c>
      <c r="L246" s="184">
        <v>0</v>
      </c>
      <c r="M246" s="654" t="s">
        <v>24</v>
      </c>
      <c r="N246" s="669" t="s">
        <v>66</v>
      </c>
      <c r="O246" s="642">
        <v>0</v>
      </c>
      <c r="P246" s="184">
        <v>0</v>
      </c>
      <c r="Q246" s="184">
        <v>0</v>
      </c>
      <c r="R246" s="184">
        <v>0</v>
      </c>
      <c r="S246" s="184">
        <v>0</v>
      </c>
      <c r="T246" s="184">
        <v>0</v>
      </c>
      <c r="U246" s="184">
        <v>1</v>
      </c>
      <c r="V246" s="184">
        <v>0</v>
      </c>
      <c r="W246" s="184">
        <v>0</v>
      </c>
      <c r="X246" s="184">
        <v>0</v>
      </c>
      <c r="Y246" s="184">
        <v>0</v>
      </c>
      <c r="Z246" s="184">
        <v>0</v>
      </c>
      <c r="AA246" s="184">
        <v>0</v>
      </c>
      <c r="AB246" s="184">
        <v>0</v>
      </c>
      <c r="AC246" s="185">
        <v>37.299999999999997</v>
      </c>
      <c r="AD246" s="185" t="s">
        <v>24</v>
      </c>
      <c r="AE246" s="184">
        <v>0</v>
      </c>
      <c r="AF246" s="185">
        <v>0</v>
      </c>
      <c r="AG246" s="184">
        <v>0</v>
      </c>
      <c r="AH246" s="185">
        <v>0</v>
      </c>
      <c r="AI246" s="184">
        <v>0</v>
      </c>
      <c r="AJ246" s="643">
        <v>0</v>
      </c>
    </row>
    <row r="247" spans="1:36" x14ac:dyDescent="0.2">
      <c r="A247" s="190" t="s">
        <v>68</v>
      </c>
      <c r="B247" s="642">
        <v>0</v>
      </c>
      <c r="C247" s="184">
        <v>0</v>
      </c>
      <c r="D247" s="184">
        <v>0</v>
      </c>
      <c r="E247" s="184">
        <v>0</v>
      </c>
      <c r="F247" s="184">
        <v>0</v>
      </c>
      <c r="G247" s="184">
        <v>0</v>
      </c>
      <c r="H247" s="184">
        <v>0</v>
      </c>
      <c r="I247" s="184">
        <v>0</v>
      </c>
      <c r="J247" s="184">
        <v>0</v>
      </c>
      <c r="K247" s="184">
        <v>0</v>
      </c>
      <c r="L247" s="184">
        <v>0</v>
      </c>
      <c r="M247" s="654" t="s">
        <v>24</v>
      </c>
      <c r="N247" s="669" t="s">
        <v>68</v>
      </c>
      <c r="O247" s="642">
        <v>0</v>
      </c>
      <c r="P247" s="184">
        <v>0</v>
      </c>
      <c r="Q247" s="184">
        <v>0</v>
      </c>
      <c r="R247" s="184">
        <v>0</v>
      </c>
      <c r="S247" s="184">
        <v>0</v>
      </c>
      <c r="T247" s="184">
        <v>0</v>
      </c>
      <c r="U247" s="184">
        <v>0</v>
      </c>
      <c r="V247" s="184">
        <v>0</v>
      </c>
      <c r="W247" s="184">
        <v>0</v>
      </c>
      <c r="X247" s="184">
        <v>0</v>
      </c>
      <c r="Y247" s="184">
        <v>0</v>
      </c>
      <c r="Z247" s="184">
        <v>0</v>
      </c>
      <c r="AA247" s="184">
        <v>0</v>
      </c>
      <c r="AB247" s="184">
        <v>0</v>
      </c>
      <c r="AC247" s="185" t="s">
        <v>24</v>
      </c>
      <c r="AD247" s="185" t="s">
        <v>24</v>
      </c>
      <c r="AE247" s="184">
        <v>0</v>
      </c>
      <c r="AF247" s="185">
        <v>0</v>
      </c>
      <c r="AG247" s="184">
        <v>0</v>
      </c>
      <c r="AH247" s="185">
        <v>0</v>
      </c>
      <c r="AI247" s="184">
        <v>0</v>
      </c>
      <c r="AJ247" s="643">
        <v>0</v>
      </c>
    </row>
    <row r="248" spans="1:36" x14ac:dyDescent="0.2">
      <c r="A248" s="190" t="s">
        <v>70</v>
      </c>
      <c r="B248" s="642">
        <v>0</v>
      </c>
      <c r="C248" s="184">
        <v>0</v>
      </c>
      <c r="D248" s="184">
        <v>0</v>
      </c>
      <c r="E248" s="184">
        <v>0</v>
      </c>
      <c r="F248" s="184">
        <v>0</v>
      </c>
      <c r="G248" s="184">
        <v>0</v>
      </c>
      <c r="H248" s="184">
        <v>0</v>
      </c>
      <c r="I248" s="184">
        <v>0</v>
      </c>
      <c r="J248" s="184">
        <v>0</v>
      </c>
      <c r="K248" s="184">
        <v>0</v>
      </c>
      <c r="L248" s="184">
        <v>0</v>
      </c>
      <c r="M248" s="654" t="s">
        <v>24</v>
      </c>
      <c r="N248" s="669" t="s">
        <v>70</v>
      </c>
      <c r="O248" s="642">
        <v>0</v>
      </c>
      <c r="P248" s="184">
        <v>0</v>
      </c>
      <c r="Q248" s="184">
        <v>0</v>
      </c>
      <c r="R248" s="184">
        <v>0</v>
      </c>
      <c r="S248" s="184">
        <v>0</v>
      </c>
      <c r="T248" s="184">
        <v>0</v>
      </c>
      <c r="U248" s="184">
        <v>0</v>
      </c>
      <c r="V248" s="184">
        <v>0</v>
      </c>
      <c r="W248" s="184">
        <v>0</v>
      </c>
      <c r="X248" s="184">
        <v>0</v>
      </c>
      <c r="Y248" s="184">
        <v>0</v>
      </c>
      <c r="Z248" s="184">
        <v>0</v>
      </c>
      <c r="AA248" s="184">
        <v>0</v>
      </c>
      <c r="AB248" s="184">
        <v>0</v>
      </c>
      <c r="AC248" s="185" t="s">
        <v>24</v>
      </c>
      <c r="AD248" s="185" t="s">
        <v>24</v>
      </c>
      <c r="AE248" s="184">
        <v>0</v>
      </c>
      <c r="AF248" s="185">
        <v>0</v>
      </c>
      <c r="AG248" s="184">
        <v>0</v>
      </c>
      <c r="AH248" s="185">
        <v>0</v>
      </c>
      <c r="AI248" s="184">
        <v>0</v>
      </c>
      <c r="AJ248" s="643">
        <v>0</v>
      </c>
    </row>
    <row r="249" spans="1:36" x14ac:dyDescent="0.2">
      <c r="A249" s="190" t="s">
        <v>46</v>
      </c>
      <c r="B249" s="642">
        <v>0</v>
      </c>
      <c r="C249" s="184">
        <v>0</v>
      </c>
      <c r="D249" s="184">
        <v>0</v>
      </c>
      <c r="E249" s="184">
        <v>0</v>
      </c>
      <c r="F249" s="184">
        <v>0</v>
      </c>
      <c r="G249" s="184">
        <v>0</v>
      </c>
      <c r="H249" s="184">
        <v>0</v>
      </c>
      <c r="I249" s="184">
        <v>0</v>
      </c>
      <c r="J249" s="184">
        <v>0</v>
      </c>
      <c r="K249" s="184">
        <v>0</v>
      </c>
      <c r="L249" s="184">
        <v>0</v>
      </c>
      <c r="M249" s="654" t="s">
        <v>24</v>
      </c>
      <c r="N249" s="669" t="s">
        <v>46</v>
      </c>
      <c r="O249" s="642">
        <v>0</v>
      </c>
      <c r="P249" s="184">
        <v>0</v>
      </c>
      <c r="Q249" s="184">
        <v>0</v>
      </c>
      <c r="R249" s="184">
        <v>0</v>
      </c>
      <c r="S249" s="184">
        <v>0</v>
      </c>
      <c r="T249" s="184">
        <v>0</v>
      </c>
      <c r="U249" s="184">
        <v>0</v>
      </c>
      <c r="V249" s="184">
        <v>0</v>
      </c>
      <c r="W249" s="184">
        <v>0</v>
      </c>
      <c r="X249" s="184">
        <v>0</v>
      </c>
      <c r="Y249" s="184">
        <v>0</v>
      </c>
      <c r="Z249" s="184">
        <v>0</v>
      </c>
      <c r="AA249" s="184">
        <v>0</v>
      </c>
      <c r="AB249" s="184">
        <v>0</v>
      </c>
      <c r="AC249" s="185" t="s">
        <v>24</v>
      </c>
      <c r="AD249" s="185" t="s">
        <v>24</v>
      </c>
      <c r="AE249" s="184">
        <v>0</v>
      </c>
      <c r="AF249" s="185">
        <v>0</v>
      </c>
      <c r="AG249" s="184">
        <v>0</v>
      </c>
      <c r="AH249" s="185">
        <v>0</v>
      </c>
      <c r="AI249" s="184">
        <v>0</v>
      </c>
      <c r="AJ249" s="643">
        <v>0</v>
      </c>
    </row>
    <row r="250" spans="1:36" x14ac:dyDescent="0.2">
      <c r="A250" s="190" t="s">
        <v>73</v>
      </c>
      <c r="B250" s="642">
        <v>1</v>
      </c>
      <c r="C250" s="184">
        <v>0</v>
      </c>
      <c r="D250" s="184">
        <v>1</v>
      </c>
      <c r="E250" s="184">
        <v>0</v>
      </c>
      <c r="F250" s="184">
        <v>0</v>
      </c>
      <c r="G250" s="184">
        <v>0</v>
      </c>
      <c r="H250" s="184">
        <v>0</v>
      </c>
      <c r="I250" s="184">
        <v>0</v>
      </c>
      <c r="J250" s="184">
        <v>0</v>
      </c>
      <c r="K250" s="184">
        <v>0</v>
      </c>
      <c r="L250" s="184">
        <v>0</v>
      </c>
      <c r="M250" s="654" t="s">
        <v>24</v>
      </c>
      <c r="N250" s="669" t="s">
        <v>73</v>
      </c>
      <c r="O250" s="642">
        <v>0</v>
      </c>
      <c r="P250" s="184">
        <v>0</v>
      </c>
      <c r="Q250" s="184">
        <v>0</v>
      </c>
      <c r="R250" s="184">
        <v>0</v>
      </c>
      <c r="S250" s="184">
        <v>0</v>
      </c>
      <c r="T250" s="184">
        <v>0</v>
      </c>
      <c r="U250" s="184">
        <v>1</v>
      </c>
      <c r="V250" s="184">
        <v>0</v>
      </c>
      <c r="W250" s="184">
        <v>0</v>
      </c>
      <c r="X250" s="184">
        <v>0</v>
      </c>
      <c r="Y250" s="184">
        <v>0</v>
      </c>
      <c r="Z250" s="184">
        <v>0</v>
      </c>
      <c r="AA250" s="184">
        <v>0</v>
      </c>
      <c r="AB250" s="184">
        <v>0</v>
      </c>
      <c r="AC250" s="185">
        <v>39.5</v>
      </c>
      <c r="AD250" s="185" t="s">
        <v>24</v>
      </c>
      <c r="AE250" s="184">
        <v>0</v>
      </c>
      <c r="AF250" s="185">
        <v>0</v>
      </c>
      <c r="AG250" s="184">
        <v>0</v>
      </c>
      <c r="AH250" s="185">
        <v>0</v>
      </c>
      <c r="AI250" s="184">
        <v>0</v>
      </c>
      <c r="AJ250" s="643">
        <v>0</v>
      </c>
    </row>
    <row r="251" spans="1:36" x14ac:dyDescent="0.2">
      <c r="A251" s="190" t="s">
        <v>75</v>
      </c>
      <c r="B251" s="642">
        <v>1</v>
      </c>
      <c r="C251" s="184">
        <v>0</v>
      </c>
      <c r="D251" s="184">
        <v>1</v>
      </c>
      <c r="E251" s="184">
        <v>0</v>
      </c>
      <c r="F251" s="184">
        <v>0</v>
      </c>
      <c r="G251" s="184">
        <v>0</v>
      </c>
      <c r="H251" s="184">
        <v>0</v>
      </c>
      <c r="I251" s="184">
        <v>0</v>
      </c>
      <c r="J251" s="184">
        <v>0</v>
      </c>
      <c r="K251" s="184">
        <v>0</v>
      </c>
      <c r="L251" s="184">
        <v>0</v>
      </c>
      <c r="M251" s="654" t="s">
        <v>24</v>
      </c>
      <c r="N251" s="669" t="s">
        <v>75</v>
      </c>
      <c r="O251" s="642">
        <v>0</v>
      </c>
      <c r="P251" s="184">
        <v>0</v>
      </c>
      <c r="Q251" s="184">
        <v>0</v>
      </c>
      <c r="R251" s="184">
        <v>0</v>
      </c>
      <c r="S251" s="184">
        <v>0</v>
      </c>
      <c r="T251" s="184">
        <v>0</v>
      </c>
      <c r="U251" s="184">
        <v>1</v>
      </c>
      <c r="V251" s="184">
        <v>0</v>
      </c>
      <c r="W251" s="184">
        <v>0</v>
      </c>
      <c r="X251" s="184">
        <v>0</v>
      </c>
      <c r="Y251" s="184">
        <v>0</v>
      </c>
      <c r="Z251" s="184">
        <v>0</v>
      </c>
      <c r="AA251" s="184">
        <v>0</v>
      </c>
      <c r="AB251" s="184">
        <v>0</v>
      </c>
      <c r="AC251" s="185">
        <v>39.5</v>
      </c>
      <c r="AD251" s="185" t="s">
        <v>24</v>
      </c>
      <c r="AE251" s="184">
        <v>0</v>
      </c>
      <c r="AF251" s="185">
        <v>0</v>
      </c>
      <c r="AG251" s="184">
        <v>0</v>
      </c>
      <c r="AH251" s="185">
        <v>0</v>
      </c>
      <c r="AI251" s="184">
        <v>0</v>
      </c>
      <c r="AJ251" s="643">
        <v>0</v>
      </c>
    </row>
    <row r="252" spans="1:36" ht="13.5" thickBot="1" x14ac:dyDescent="0.25">
      <c r="A252" s="190" t="s">
        <v>77</v>
      </c>
      <c r="B252" s="644">
        <v>0</v>
      </c>
      <c r="C252" s="188">
        <v>0</v>
      </c>
      <c r="D252" s="188">
        <v>0</v>
      </c>
      <c r="E252" s="188">
        <v>0</v>
      </c>
      <c r="F252" s="188">
        <v>0</v>
      </c>
      <c r="G252" s="188">
        <v>0</v>
      </c>
      <c r="H252" s="188">
        <v>0</v>
      </c>
      <c r="I252" s="188">
        <v>0</v>
      </c>
      <c r="J252" s="188">
        <v>0</v>
      </c>
      <c r="K252" s="188">
        <v>0</v>
      </c>
      <c r="L252" s="188">
        <v>0</v>
      </c>
      <c r="M252" s="655" t="s">
        <v>24</v>
      </c>
      <c r="N252" s="669" t="s">
        <v>77</v>
      </c>
      <c r="O252" s="644">
        <v>0</v>
      </c>
      <c r="P252" s="188">
        <v>0</v>
      </c>
      <c r="Q252" s="188">
        <v>0</v>
      </c>
      <c r="R252" s="188">
        <v>0</v>
      </c>
      <c r="S252" s="188">
        <v>0</v>
      </c>
      <c r="T252" s="188">
        <v>0</v>
      </c>
      <c r="U252" s="188">
        <v>0</v>
      </c>
      <c r="V252" s="188">
        <v>0</v>
      </c>
      <c r="W252" s="188">
        <v>0</v>
      </c>
      <c r="X252" s="188">
        <v>0</v>
      </c>
      <c r="Y252" s="188">
        <v>0</v>
      </c>
      <c r="Z252" s="188">
        <v>0</v>
      </c>
      <c r="AA252" s="188">
        <v>0</v>
      </c>
      <c r="AB252" s="188">
        <v>0</v>
      </c>
      <c r="AC252" s="189" t="s">
        <v>24</v>
      </c>
      <c r="AD252" s="189" t="s">
        <v>24</v>
      </c>
      <c r="AE252" s="188">
        <v>0</v>
      </c>
      <c r="AF252" s="189">
        <v>0</v>
      </c>
      <c r="AG252" s="188">
        <v>0</v>
      </c>
      <c r="AH252" s="189">
        <v>0</v>
      </c>
      <c r="AI252" s="188">
        <v>0</v>
      </c>
      <c r="AJ252" s="645">
        <v>0</v>
      </c>
    </row>
    <row r="253" spans="1:36" x14ac:dyDescent="0.2">
      <c r="A253" s="190" t="s">
        <v>48</v>
      </c>
      <c r="B253" s="642">
        <v>2</v>
      </c>
      <c r="C253" s="184">
        <v>0</v>
      </c>
      <c r="D253" s="184">
        <v>1</v>
      </c>
      <c r="E253" s="184">
        <v>0</v>
      </c>
      <c r="F253" s="184">
        <v>1</v>
      </c>
      <c r="G253" s="184">
        <v>0</v>
      </c>
      <c r="H253" s="184">
        <v>0</v>
      </c>
      <c r="I253" s="184">
        <v>0</v>
      </c>
      <c r="J253" s="184">
        <v>0</v>
      </c>
      <c r="K253" s="184">
        <v>0</v>
      </c>
      <c r="L253" s="184">
        <v>0</v>
      </c>
      <c r="M253" s="654" t="s">
        <v>24</v>
      </c>
      <c r="N253" s="669" t="s">
        <v>48</v>
      </c>
      <c r="O253" s="642">
        <v>0</v>
      </c>
      <c r="P253" s="184">
        <v>0</v>
      </c>
      <c r="Q253" s="184">
        <v>0</v>
      </c>
      <c r="R253" s="184">
        <v>0</v>
      </c>
      <c r="S253" s="184">
        <v>0</v>
      </c>
      <c r="T253" s="184">
        <v>0</v>
      </c>
      <c r="U253" s="184">
        <v>0</v>
      </c>
      <c r="V253" s="184">
        <v>1</v>
      </c>
      <c r="W253" s="184">
        <v>0</v>
      </c>
      <c r="X253" s="184">
        <v>1</v>
      </c>
      <c r="Y253" s="184">
        <v>0</v>
      </c>
      <c r="Z253" s="184">
        <v>0</v>
      </c>
      <c r="AA253" s="184">
        <v>0</v>
      </c>
      <c r="AB253" s="184">
        <v>0</v>
      </c>
      <c r="AC253" s="185">
        <v>48.3</v>
      </c>
      <c r="AD253" s="185" t="s">
        <v>24</v>
      </c>
      <c r="AE253" s="184">
        <v>0</v>
      </c>
      <c r="AF253" s="185">
        <v>0</v>
      </c>
      <c r="AG253" s="184">
        <v>0</v>
      </c>
      <c r="AH253" s="185">
        <v>0</v>
      </c>
      <c r="AI253" s="184">
        <v>0</v>
      </c>
      <c r="AJ253" s="643">
        <v>0</v>
      </c>
    </row>
    <row r="254" spans="1:36" x14ac:dyDescent="0.2">
      <c r="A254" s="190" t="s">
        <v>79</v>
      </c>
      <c r="B254" s="642">
        <v>1</v>
      </c>
      <c r="C254" s="184">
        <v>0</v>
      </c>
      <c r="D254" s="184">
        <v>1</v>
      </c>
      <c r="E254" s="184">
        <v>0</v>
      </c>
      <c r="F254" s="184">
        <v>0</v>
      </c>
      <c r="G254" s="184">
        <v>0</v>
      </c>
      <c r="H254" s="184">
        <v>0</v>
      </c>
      <c r="I254" s="184">
        <v>0</v>
      </c>
      <c r="J254" s="184">
        <v>0</v>
      </c>
      <c r="K254" s="184">
        <v>0</v>
      </c>
      <c r="L254" s="184">
        <v>0</v>
      </c>
      <c r="M254" s="654" t="s">
        <v>24</v>
      </c>
      <c r="N254" s="669" t="s">
        <v>79</v>
      </c>
      <c r="O254" s="642">
        <v>0</v>
      </c>
      <c r="P254" s="184">
        <v>0</v>
      </c>
      <c r="Q254" s="184">
        <v>0</v>
      </c>
      <c r="R254" s="184">
        <v>0</v>
      </c>
      <c r="S254" s="184">
        <v>0</v>
      </c>
      <c r="T254" s="184">
        <v>0</v>
      </c>
      <c r="U254" s="184">
        <v>0</v>
      </c>
      <c r="V254" s="184">
        <v>1</v>
      </c>
      <c r="W254" s="184">
        <v>0</v>
      </c>
      <c r="X254" s="184">
        <v>0</v>
      </c>
      <c r="Y254" s="184">
        <v>0</v>
      </c>
      <c r="Z254" s="184">
        <v>0</v>
      </c>
      <c r="AA254" s="184">
        <v>0</v>
      </c>
      <c r="AB254" s="184">
        <v>0</v>
      </c>
      <c r="AC254" s="185">
        <v>41.5</v>
      </c>
      <c r="AD254" s="185" t="s">
        <v>24</v>
      </c>
      <c r="AE254" s="184">
        <v>0</v>
      </c>
      <c r="AF254" s="185">
        <v>0</v>
      </c>
      <c r="AG254" s="184">
        <v>0</v>
      </c>
      <c r="AH254" s="185">
        <v>0</v>
      </c>
      <c r="AI254" s="184">
        <v>0</v>
      </c>
      <c r="AJ254" s="643">
        <v>0</v>
      </c>
    </row>
    <row r="255" spans="1:36" x14ac:dyDescent="0.2">
      <c r="A255" s="190" t="s">
        <v>80</v>
      </c>
      <c r="B255" s="642">
        <v>5</v>
      </c>
      <c r="C255" s="184">
        <v>0</v>
      </c>
      <c r="D255" s="184">
        <v>5</v>
      </c>
      <c r="E255" s="184">
        <v>0</v>
      </c>
      <c r="F255" s="184">
        <v>0</v>
      </c>
      <c r="G255" s="184">
        <v>0</v>
      </c>
      <c r="H255" s="184">
        <v>0</v>
      </c>
      <c r="I255" s="184">
        <v>0</v>
      </c>
      <c r="J255" s="184">
        <v>0</v>
      </c>
      <c r="K255" s="184">
        <v>0</v>
      </c>
      <c r="L255" s="184">
        <v>0</v>
      </c>
      <c r="M255" s="654" t="s">
        <v>24</v>
      </c>
      <c r="N255" s="669" t="s">
        <v>80</v>
      </c>
      <c r="O255" s="642">
        <v>0</v>
      </c>
      <c r="P255" s="184">
        <v>0</v>
      </c>
      <c r="Q255" s="184">
        <v>0</v>
      </c>
      <c r="R255" s="184">
        <v>0</v>
      </c>
      <c r="S255" s="184">
        <v>0</v>
      </c>
      <c r="T255" s="184">
        <v>1</v>
      </c>
      <c r="U255" s="184">
        <v>2</v>
      </c>
      <c r="V255" s="184">
        <v>0</v>
      </c>
      <c r="W255" s="184">
        <v>1</v>
      </c>
      <c r="X255" s="184">
        <v>1</v>
      </c>
      <c r="Y255" s="184">
        <v>0</v>
      </c>
      <c r="Z255" s="184">
        <v>0</v>
      </c>
      <c r="AA255" s="184">
        <v>0</v>
      </c>
      <c r="AB255" s="184">
        <v>0</v>
      </c>
      <c r="AC255" s="185">
        <v>42.2</v>
      </c>
      <c r="AD255" s="185" t="s">
        <v>24</v>
      </c>
      <c r="AE255" s="184">
        <v>0</v>
      </c>
      <c r="AF255" s="185">
        <v>0</v>
      </c>
      <c r="AG255" s="184">
        <v>0</v>
      </c>
      <c r="AH255" s="185">
        <v>0</v>
      </c>
      <c r="AI255" s="184">
        <v>0</v>
      </c>
      <c r="AJ255" s="643">
        <v>0</v>
      </c>
    </row>
    <row r="256" spans="1:36" ht="13.5" thickBot="1" x14ac:dyDescent="0.25">
      <c r="A256" s="190" t="s">
        <v>81</v>
      </c>
      <c r="B256" s="644">
        <v>4</v>
      </c>
      <c r="C256" s="188">
        <v>1</v>
      </c>
      <c r="D256" s="188">
        <v>3</v>
      </c>
      <c r="E256" s="188">
        <v>0</v>
      </c>
      <c r="F256" s="188">
        <v>0</v>
      </c>
      <c r="G256" s="188">
        <v>0</v>
      </c>
      <c r="H256" s="188">
        <v>0</v>
      </c>
      <c r="I256" s="188">
        <v>0</v>
      </c>
      <c r="J256" s="188">
        <v>0</v>
      </c>
      <c r="K256" s="188">
        <v>0</v>
      </c>
      <c r="L256" s="188">
        <v>0</v>
      </c>
      <c r="M256" s="655" t="s">
        <v>24</v>
      </c>
      <c r="N256" s="669" t="s">
        <v>81</v>
      </c>
      <c r="O256" s="644">
        <v>0</v>
      </c>
      <c r="P256" s="188">
        <v>0</v>
      </c>
      <c r="Q256" s="188">
        <v>1</v>
      </c>
      <c r="R256" s="188">
        <v>0</v>
      </c>
      <c r="S256" s="188">
        <v>0</v>
      </c>
      <c r="T256" s="188">
        <v>0</v>
      </c>
      <c r="U256" s="188">
        <v>1</v>
      </c>
      <c r="V256" s="188">
        <v>0</v>
      </c>
      <c r="W256" s="188">
        <v>2</v>
      </c>
      <c r="X256" s="188">
        <v>0</v>
      </c>
      <c r="Y256" s="188">
        <v>0</v>
      </c>
      <c r="Z256" s="188">
        <v>0</v>
      </c>
      <c r="AA256" s="188">
        <v>0</v>
      </c>
      <c r="AB256" s="188">
        <v>0</v>
      </c>
      <c r="AC256" s="189">
        <v>37.200000000000003</v>
      </c>
      <c r="AD256" s="189" t="s">
        <v>24</v>
      </c>
      <c r="AE256" s="188">
        <v>0</v>
      </c>
      <c r="AF256" s="189">
        <v>0</v>
      </c>
      <c r="AG256" s="188">
        <v>0</v>
      </c>
      <c r="AH256" s="189">
        <v>0</v>
      </c>
      <c r="AI256" s="188">
        <v>0</v>
      </c>
      <c r="AJ256" s="645">
        <v>0</v>
      </c>
    </row>
    <row r="257" spans="1:36" x14ac:dyDescent="0.2">
      <c r="A257" s="190" t="s">
        <v>50</v>
      </c>
      <c r="B257" s="646">
        <v>4</v>
      </c>
      <c r="C257" s="186">
        <v>0</v>
      </c>
      <c r="D257" s="186">
        <v>3</v>
      </c>
      <c r="E257" s="186">
        <v>0</v>
      </c>
      <c r="F257" s="186">
        <v>1</v>
      </c>
      <c r="G257" s="186">
        <v>0</v>
      </c>
      <c r="H257" s="186">
        <v>0</v>
      </c>
      <c r="I257" s="186">
        <v>0</v>
      </c>
      <c r="J257" s="186">
        <v>0</v>
      </c>
      <c r="K257" s="186">
        <v>0</v>
      </c>
      <c r="L257" s="186">
        <v>0</v>
      </c>
      <c r="M257" s="656" t="s">
        <v>24</v>
      </c>
      <c r="N257" s="669" t="s">
        <v>50</v>
      </c>
      <c r="O257" s="646">
        <v>0</v>
      </c>
      <c r="P257" s="186">
        <v>0</v>
      </c>
      <c r="Q257" s="186">
        <v>0</v>
      </c>
      <c r="R257" s="186">
        <v>0</v>
      </c>
      <c r="S257" s="186">
        <v>1</v>
      </c>
      <c r="T257" s="186">
        <v>0</v>
      </c>
      <c r="U257" s="186">
        <v>0</v>
      </c>
      <c r="V257" s="186">
        <v>3</v>
      </c>
      <c r="W257" s="186">
        <v>0</v>
      </c>
      <c r="X257" s="186">
        <v>0</v>
      </c>
      <c r="Y257" s="186">
        <v>0</v>
      </c>
      <c r="Z257" s="186">
        <v>0</v>
      </c>
      <c r="AA257" s="186">
        <v>0</v>
      </c>
      <c r="AB257" s="186">
        <v>0</v>
      </c>
      <c r="AC257" s="187">
        <v>39.299999999999997</v>
      </c>
      <c r="AD257" s="187" t="s">
        <v>24</v>
      </c>
      <c r="AE257" s="186">
        <v>0</v>
      </c>
      <c r="AF257" s="187">
        <v>0</v>
      </c>
      <c r="AG257" s="186">
        <v>0</v>
      </c>
      <c r="AH257" s="187">
        <v>0</v>
      </c>
      <c r="AI257" s="186">
        <v>0</v>
      </c>
      <c r="AJ257" s="647">
        <v>0</v>
      </c>
    </row>
    <row r="258" spans="1:36" x14ac:dyDescent="0.2">
      <c r="A258" s="190" t="s">
        <v>82</v>
      </c>
      <c r="B258" s="642">
        <v>8</v>
      </c>
      <c r="C258" s="184">
        <v>1</v>
      </c>
      <c r="D258" s="184">
        <v>6</v>
      </c>
      <c r="E258" s="184">
        <v>0</v>
      </c>
      <c r="F258" s="184">
        <v>1</v>
      </c>
      <c r="G258" s="184">
        <v>0</v>
      </c>
      <c r="H258" s="184">
        <v>0</v>
      </c>
      <c r="I258" s="184">
        <v>0</v>
      </c>
      <c r="J258" s="184">
        <v>0</v>
      </c>
      <c r="K258" s="184">
        <v>0</v>
      </c>
      <c r="L258" s="184">
        <v>0</v>
      </c>
      <c r="M258" s="654" t="s">
        <v>24</v>
      </c>
      <c r="N258" s="669" t="s">
        <v>82</v>
      </c>
      <c r="O258" s="642">
        <v>0</v>
      </c>
      <c r="P258" s="184">
        <v>0</v>
      </c>
      <c r="Q258" s="184">
        <v>0</v>
      </c>
      <c r="R258" s="184">
        <v>0</v>
      </c>
      <c r="S258" s="184">
        <v>0</v>
      </c>
      <c r="T258" s="184">
        <v>0</v>
      </c>
      <c r="U258" s="184">
        <v>0</v>
      </c>
      <c r="V258" s="184">
        <v>1</v>
      </c>
      <c r="W258" s="184">
        <v>4</v>
      </c>
      <c r="X258" s="184">
        <v>3</v>
      </c>
      <c r="Y258" s="184">
        <v>0</v>
      </c>
      <c r="Z258" s="184">
        <v>0</v>
      </c>
      <c r="AA258" s="184">
        <v>0</v>
      </c>
      <c r="AB258" s="184">
        <v>0</v>
      </c>
      <c r="AC258" s="185">
        <v>48.4</v>
      </c>
      <c r="AD258" s="185" t="s">
        <v>24</v>
      </c>
      <c r="AE258" s="184">
        <v>0</v>
      </c>
      <c r="AF258" s="185">
        <v>0</v>
      </c>
      <c r="AG258" s="184">
        <v>0</v>
      </c>
      <c r="AH258" s="185">
        <v>0</v>
      </c>
      <c r="AI258" s="184">
        <v>0</v>
      </c>
      <c r="AJ258" s="643">
        <v>0</v>
      </c>
    </row>
    <row r="259" spans="1:36" x14ac:dyDescent="0.2">
      <c r="A259" s="190" t="s">
        <v>83</v>
      </c>
      <c r="B259" s="642">
        <v>9</v>
      </c>
      <c r="C259" s="184">
        <v>1</v>
      </c>
      <c r="D259" s="184">
        <v>7</v>
      </c>
      <c r="E259" s="184">
        <v>0</v>
      </c>
      <c r="F259" s="184">
        <v>1</v>
      </c>
      <c r="G259" s="184">
        <v>0</v>
      </c>
      <c r="H259" s="184">
        <v>0</v>
      </c>
      <c r="I259" s="184">
        <v>0</v>
      </c>
      <c r="J259" s="184">
        <v>0</v>
      </c>
      <c r="K259" s="184">
        <v>0</v>
      </c>
      <c r="L259" s="184">
        <v>0</v>
      </c>
      <c r="M259" s="654" t="s">
        <v>24</v>
      </c>
      <c r="N259" s="669" t="s">
        <v>83</v>
      </c>
      <c r="O259" s="642">
        <v>0</v>
      </c>
      <c r="P259" s="184">
        <v>0</v>
      </c>
      <c r="Q259" s="184">
        <v>0</v>
      </c>
      <c r="R259" s="184">
        <v>1</v>
      </c>
      <c r="S259" s="184">
        <v>2</v>
      </c>
      <c r="T259" s="184">
        <v>2</v>
      </c>
      <c r="U259" s="184">
        <v>0</v>
      </c>
      <c r="V259" s="184">
        <v>2</v>
      </c>
      <c r="W259" s="184">
        <v>1</v>
      </c>
      <c r="X259" s="184">
        <v>1</v>
      </c>
      <c r="Y259" s="184">
        <v>0</v>
      </c>
      <c r="Z259" s="184">
        <v>0</v>
      </c>
      <c r="AA259" s="184">
        <v>0</v>
      </c>
      <c r="AB259" s="184">
        <v>0</v>
      </c>
      <c r="AC259" s="185">
        <v>35.5</v>
      </c>
      <c r="AD259" s="185" t="s">
        <v>24</v>
      </c>
      <c r="AE259" s="184">
        <v>0</v>
      </c>
      <c r="AF259" s="185">
        <v>0</v>
      </c>
      <c r="AG259" s="184">
        <v>0</v>
      </c>
      <c r="AH259" s="185">
        <v>0</v>
      </c>
      <c r="AI259" s="184">
        <v>0</v>
      </c>
      <c r="AJ259" s="643">
        <v>0</v>
      </c>
    </row>
    <row r="260" spans="1:36" x14ac:dyDescent="0.2">
      <c r="A260" s="190" t="s">
        <v>84</v>
      </c>
      <c r="B260" s="642">
        <v>13</v>
      </c>
      <c r="C260" s="184">
        <v>0</v>
      </c>
      <c r="D260" s="184">
        <v>11</v>
      </c>
      <c r="E260" s="184">
        <v>0</v>
      </c>
      <c r="F260" s="184">
        <v>2</v>
      </c>
      <c r="G260" s="184">
        <v>0</v>
      </c>
      <c r="H260" s="184">
        <v>0</v>
      </c>
      <c r="I260" s="184">
        <v>0</v>
      </c>
      <c r="J260" s="184">
        <v>0</v>
      </c>
      <c r="K260" s="184">
        <v>0</v>
      </c>
      <c r="L260" s="184">
        <v>0</v>
      </c>
      <c r="M260" s="654" t="s">
        <v>24</v>
      </c>
      <c r="N260" s="669" t="s">
        <v>84</v>
      </c>
      <c r="O260" s="642">
        <v>0</v>
      </c>
      <c r="P260" s="184">
        <v>0</v>
      </c>
      <c r="Q260" s="184">
        <v>0</v>
      </c>
      <c r="R260" s="184">
        <v>0</v>
      </c>
      <c r="S260" s="184">
        <v>0</v>
      </c>
      <c r="T260" s="184">
        <v>1</v>
      </c>
      <c r="U260" s="184">
        <v>3</v>
      </c>
      <c r="V260" s="184">
        <v>2</v>
      </c>
      <c r="W260" s="184">
        <v>3</v>
      </c>
      <c r="X260" s="184">
        <v>4</v>
      </c>
      <c r="Y260" s="184">
        <v>0</v>
      </c>
      <c r="Z260" s="184">
        <v>0</v>
      </c>
      <c r="AA260" s="184">
        <v>0</v>
      </c>
      <c r="AB260" s="184">
        <v>0</v>
      </c>
      <c r="AC260" s="185">
        <v>45.5</v>
      </c>
      <c r="AD260" s="185">
        <v>56.2</v>
      </c>
      <c r="AE260" s="184">
        <v>0</v>
      </c>
      <c r="AF260" s="185">
        <v>0</v>
      </c>
      <c r="AG260" s="184">
        <v>0</v>
      </c>
      <c r="AH260" s="185">
        <v>0</v>
      </c>
      <c r="AI260" s="184">
        <v>0</v>
      </c>
      <c r="AJ260" s="643">
        <v>0</v>
      </c>
    </row>
    <row r="261" spans="1:36" x14ac:dyDescent="0.2">
      <c r="A261" s="190" t="s">
        <v>51</v>
      </c>
      <c r="B261" s="642">
        <v>3</v>
      </c>
      <c r="C261" s="184">
        <v>0</v>
      </c>
      <c r="D261" s="184">
        <v>2</v>
      </c>
      <c r="E261" s="184">
        <v>0</v>
      </c>
      <c r="F261" s="184">
        <v>1</v>
      </c>
      <c r="G261" s="184">
        <v>0</v>
      </c>
      <c r="H261" s="184">
        <v>0</v>
      </c>
      <c r="I261" s="184">
        <v>0</v>
      </c>
      <c r="J261" s="184">
        <v>0</v>
      </c>
      <c r="K261" s="184">
        <v>0</v>
      </c>
      <c r="L261" s="184">
        <v>0</v>
      </c>
      <c r="M261" s="654" t="s">
        <v>24</v>
      </c>
      <c r="N261" s="669" t="s">
        <v>51</v>
      </c>
      <c r="O261" s="642">
        <v>0</v>
      </c>
      <c r="P261" s="184">
        <v>0</v>
      </c>
      <c r="Q261" s="184">
        <v>0</v>
      </c>
      <c r="R261" s="184">
        <v>0</v>
      </c>
      <c r="S261" s="184">
        <v>0</v>
      </c>
      <c r="T261" s="184">
        <v>0</v>
      </c>
      <c r="U261" s="184">
        <v>1</v>
      </c>
      <c r="V261" s="184">
        <v>0</v>
      </c>
      <c r="W261" s="184">
        <v>1</v>
      </c>
      <c r="X261" s="184">
        <v>1</v>
      </c>
      <c r="Y261" s="184">
        <v>0</v>
      </c>
      <c r="Z261" s="184">
        <v>0</v>
      </c>
      <c r="AA261" s="184">
        <v>0</v>
      </c>
      <c r="AB261" s="184">
        <v>0</v>
      </c>
      <c r="AC261" s="185">
        <v>44.1</v>
      </c>
      <c r="AD261" s="185" t="s">
        <v>24</v>
      </c>
      <c r="AE261" s="184">
        <v>0</v>
      </c>
      <c r="AF261" s="185">
        <v>0</v>
      </c>
      <c r="AG261" s="184">
        <v>0</v>
      </c>
      <c r="AH261" s="185">
        <v>0</v>
      </c>
      <c r="AI261" s="184">
        <v>0</v>
      </c>
      <c r="AJ261" s="643">
        <v>0</v>
      </c>
    </row>
    <row r="262" spans="1:36" x14ac:dyDescent="0.2">
      <c r="A262" s="190" t="s">
        <v>85</v>
      </c>
      <c r="B262" s="642">
        <v>6</v>
      </c>
      <c r="C262" s="184">
        <v>0</v>
      </c>
      <c r="D262" s="184">
        <v>5</v>
      </c>
      <c r="E262" s="184">
        <v>0</v>
      </c>
      <c r="F262" s="184">
        <v>1</v>
      </c>
      <c r="G262" s="184">
        <v>0</v>
      </c>
      <c r="H262" s="184">
        <v>0</v>
      </c>
      <c r="I262" s="184">
        <v>0</v>
      </c>
      <c r="J262" s="184">
        <v>0</v>
      </c>
      <c r="K262" s="184">
        <v>0</v>
      </c>
      <c r="L262" s="184">
        <v>0</v>
      </c>
      <c r="M262" s="654" t="s">
        <v>24</v>
      </c>
      <c r="N262" s="669" t="s">
        <v>85</v>
      </c>
      <c r="O262" s="642">
        <v>0</v>
      </c>
      <c r="P262" s="184">
        <v>0</v>
      </c>
      <c r="Q262" s="184">
        <v>0</v>
      </c>
      <c r="R262" s="184">
        <v>0</v>
      </c>
      <c r="S262" s="184">
        <v>0</v>
      </c>
      <c r="T262" s="184">
        <v>0</v>
      </c>
      <c r="U262" s="184">
        <v>2</v>
      </c>
      <c r="V262" s="184">
        <v>2</v>
      </c>
      <c r="W262" s="184">
        <v>0</v>
      </c>
      <c r="X262" s="184">
        <v>2</v>
      </c>
      <c r="Y262" s="184">
        <v>0</v>
      </c>
      <c r="Z262" s="184">
        <v>0</v>
      </c>
      <c r="AA262" s="184">
        <v>0</v>
      </c>
      <c r="AB262" s="184">
        <v>0</v>
      </c>
      <c r="AC262" s="185">
        <v>44.8</v>
      </c>
      <c r="AD262" s="185" t="s">
        <v>24</v>
      </c>
      <c r="AE262" s="184">
        <v>0</v>
      </c>
      <c r="AF262" s="185">
        <v>0</v>
      </c>
      <c r="AG262" s="184">
        <v>0</v>
      </c>
      <c r="AH262" s="185">
        <v>0</v>
      </c>
      <c r="AI262" s="184">
        <v>0</v>
      </c>
      <c r="AJ262" s="643">
        <v>0</v>
      </c>
    </row>
    <row r="263" spans="1:36" x14ac:dyDescent="0.2">
      <c r="A263" s="190" t="s">
        <v>86</v>
      </c>
      <c r="B263" s="642">
        <v>7</v>
      </c>
      <c r="C263" s="184">
        <v>1</v>
      </c>
      <c r="D263" s="184">
        <v>6</v>
      </c>
      <c r="E263" s="184">
        <v>0</v>
      </c>
      <c r="F263" s="184">
        <v>0</v>
      </c>
      <c r="G263" s="184">
        <v>0</v>
      </c>
      <c r="H263" s="184">
        <v>0</v>
      </c>
      <c r="I263" s="184">
        <v>0</v>
      </c>
      <c r="J263" s="184">
        <v>0</v>
      </c>
      <c r="K263" s="184">
        <v>0</v>
      </c>
      <c r="L263" s="184">
        <v>0</v>
      </c>
      <c r="M263" s="654" t="s">
        <v>24</v>
      </c>
      <c r="N263" s="669" t="s">
        <v>86</v>
      </c>
      <c r="O263" s="642">
        <v>0</v>
      </c>
      <c r="P263" s="184">
        <v>0</v>
      </c>
      <c r="Q263" s="184">
        <v>1</v>
      </c>
      <c r="R263" s="184">
        <v>0</v>
      </c>
      <c r="S263" s="184">
        <v>0</v>
      </c>
      <c r="T263" s="184">
        <v>1</v>
      </c>
      <c r="U263" s="184">
        <v>0</v>
      </c>
      <c r="V263" s="184">
        <v>2</v>
      </c>
      <c r="W263" s="184">
        <v>2</v>
      </c>
      <c r="X263" s="184">
        <v>0</v>
      </c>
      <c r="Y263" s="184">
        <v>1</v>
      </c>
      <c r="Z263" s="184">
        <v>0</v>
      </c>
      <c r="AA263" s="184">
        <v>0</v>
      </c>
      <c r="AB263" s="184">
        <v>0</v>
      </c>
      <c r="AC263" s="185">
        <v>42.8</v>
      </c>
      <c r="AD263" s="185" t="s">
        <v>24</v>
      </c>
      <c r="AE263" s="184">
        <v>1</v>
      </c>
      <c r="AF263" s="185">
        <v>14.285714285714285</v>
      </c>
      <c r="AG263" s="184">
        <v>0</v>
      </c>
      <c r="AH263" s="185">
        <v>0</v>
      </c>
      <c r="AI263" s="184">
        <v>0</v>
      </c>
      <c r="AJ263" s="643">
        <v>0</v>
      </c>
    </row>
    <row r="264" spans="1:36" x14ac:dyDescent="0.2">
      <c r="A264" s="190" t="s">
        <v>87</v>
      </c>
      <c r="B264" s="642">
        <v>11</v>
      </c>
      <c r="C264" s="184">
        <v>0</v>
      </c>
      <c r="D264" s="184">
        <v>10</v>
      </c>
      <c r="E264" s="184">
        <v>0</v>
      </c>
      <c r="F264" s="184">
        <v>1</v>
      </c>
      <c r="G264" s="184">
        <v>0</v>
      </c>
      <c r="H264" s="184">
        <v>0</v>
      </c>
      <c r="I264" s="184">
        <v>0</v>
      </c>
      <c r="J264" s="184">
        <v>0</v>
      </c>
      <c r="K264" s="184">
        <v>0</v>
      </c>
      <c r="L264" s="184">
        <v>0</v>
      </c>
      <c r="M264" s="654" t="s">
        <v>24</v>
      </c>
      <c r="N264" s="669" t="s">
        <v>87</v>
      </c>
      <c r="O264" s="642">
        <v>0</v>
      </c>
      <c r="P264" s="184">
        <v>0</v>
      </c>
      <c r="Q264" s="184">
        <v>0</v>
      </c>
      <c r="R264" s="184">
        <v>0</v>
      </c>
      <c r="S264" s="184">
        <v>0</v>
      </c>
      <c r="T264" s="184">
        <v>1</v>
      </c>
      <c r="U264" s="184">
        <v>4</v>
      </c>
      <c r="V264" s="184">
        <v>1</v>
      </c>
      <c r="W264" s="184">
        <v>2</v>
      </c>
      <c r="X264" s="184">
        <v>2</v>
      </c>
      <c r="Y264" s="184">
        <v>1</v>
      </c>
      <c r="Z264" s="184">
        <v>0</v>
      </c>
      <c r="AA264" s="184">
        <v>0</v>
      </c>
      <c r="AB264" s="184">
        <v>0</v>
      </c>
      <c r="AC264" s="185">
        <v>45.1</v>
      </c>
      <c r="AD264" s="185">
        <v>57.4</v>
      </c>
      <c r="AE264" s="184">
        <v>1</v>
      </c>
      <c r="AF264" s="185">
        <v>9.0909090909090917</v>
      </c>
      <c r="AG264" s="184">
        <v>0</v>
      </c>
      <c r="AH264" s="185">
        <v>0</v>
      </c>
      <c r="AI264" s="184">
        <v>0</v>
      </c>
      <c r="AJ264" s="643">
        <v>0</v>
      </c>
    </row>
    <row r="265" spans="1:36" x14ac:dyDescent="0.2">
      <c r="A265" s="190" t="s">
        <v>53</v>
      </c>
      <c r="B265" s="646">
        <v>11</v>
      </c>
      <c r="C265" s="186">
        <v>0</v>
      </c>
      <c r="D265" s="186">
        <v>9</v>
      </c>
      <c r="E265" s="186">
        <v>0</v>
      </c>
      <c r="F265" s="186">
        <v>2</v>
      </c>
      <c r="G265" s="186">
        <v>0</v>
      </c>
      <c r="H265" s="186">
        <v>0</v>
      </c>
      <c r="I265" s="186">
        <v>0</v>
      </c>
      <c r="J265" s="186">
        <v>0</v>
      </c>
      <c r="K265" s="186">
        <v>0</v>
      </c>
      <c r="L265" s="186">
        <v>0</v>
      </c>
      <c r="M265" s="656" t="s">
        <v>24</v>
      </c>
      <c r="N265" s="669" t="s">
        <v>53</v>
      </c>
      <c r="O265" s="646">
        <v>0</v>
      </c>
      <c r="P265" s="186">
        <v>0</v>
      </c>
      <c r="Q265" s="186">
        <v>0</v>
      </c>
      <c r="R265" s="186">
        <v>0</v>
      </c>
      <c r="S265" s="186">
        <v>1</v>
      </c>
      <c r="T265" s="186">
        <v>6</v>
      </c>
      <c r="U265" s="186">
        <v>1</v>
      </c>
      <c r="V265" s="186">
        <v>1</v>
      </c>
      <c r="W265" s="186">
        <v>1</v>
      </c>
      <c r="X265" s="186">
        <v>1</v>
      </c>
      <c r="Y265" s="186">
        <v>0</v>
      </c>
      <c r="Z265" s="186">
        <v>0</v>
      </c>
      <c r="AA265" s="186">
        <v>0</v>
      </c>
      <c r="AB265" s="186">
        <v>0</v>
      </c>
      <c r="AC265" s="187">
        <v>36.6</v>
      </c>
      <c r="AD265" s="187">
        <v>48</v>
      </c>
      <c r="AE265" s="186">
        <v>0</v>
      </c>
      <c r="AF265" s="187">
        <v>0</v>
      </c>
      <c r="AG265" s="186">
        <v>0</v>
      </c>
      <c r="AH265" s="187">
        <v>0</v>
      </c>
      <c r="AI265" s="186">
        <v>0</v>
      </c>
      <c r="AJ265" s="647">
        <v>0</v>
      </c>
    </row>
    <row r="266" spans="1:36" x14ac:dyDescent="0.2">
      <c r="A266" s="190" t="s">
        <v>88</v>
      </c>
      <c r="B266" s="642">
        <v>11</v>
      </c>
      <c r="C266" s="184">
        <v>0</v>
      </c>
      <c r="D266" s="184">
        <v>10</v>
      </c>
      <c r="E266" s="184">
        <v>0</v>
      </c>
      <c r="F266" s="184">
        <v>1</v>
      </c>
      <c r="G266" s="184">
        <v>0</v>
      </c>
      <c r="H266" s="184">
        <v>0</v>
      </c>
      <c r="I266" s="184">
        <v>0</v>
      </c>
      <c r="J266" s="184">
        <v>0</v>
      </c>
      <c r="K266" s="184">
        <v>0</v>
      </c>
      <c r="L266" s="184">
        <v>0</v>
      </c>
      <c r="M266" s="654" t="s">
        <v>24</v>
      </c>
      <c r="N266" s="669" t="s">
        <v>88</v>
      </c>
      <c r="O266" s="642">
        <v>0</v>
      </c>
      <c r="P266" s="184">
        <v>0</v>
      </c>
      <c r="Q266" s="184">
        <v>0</v>
      </c>
      <c r="R266" s="184">
        <v>0</v>
      </c>
      <c r="S266" s="184">
        <v>0</v>
      </c>
      <c r="T266" s="184">
        <v>4</v>
      </c>
      <c r="U266" s="184">
        <v>3</v>
      </c>
      <c r="V266" s="184">
        <v>4</v>
      </c>
      <c r="W266" s="184">
        <v>0</v>
      </c>
      <c r="X266" s="184">
        <v>0</v>
      </c>
      <c r="Y266" s="184">
        <v>0</v>
      </c>
      <c r="Z266" s="184">
        <v>0</v>
      </c>
      <c r="AA266" s="184">
        <v>0</v>
      </c>
      <c r="AB266" s="184">
        <v>0</v>
      </c>
      <c r="AC266" s="185">
        <v>36.9</v>
      </c>
      <c r="AD266" s="185">
        <v>42.5</v>
      </c>
      <c r="AE266" s="184">
        <v>0</v>
      </c>
      <c r="AF266" s="185">
        <v>0</v>
      </c>
      <c r="AG266" s="184">
        <v>0</v>
      </c>
      <c r="AH266" s="185">
        <v>0</v>
      </c>
      <c r="AI266" s="184">
        <v>0</v>
      </c>
      <c r="AJ266" s="643">
        <v>0</v>
      </c>
    </row>
    <row r="267" spans="1:36" x14ac:dyDescent="0.2">
      <c r="A267" s="190" t="s">
        <v>89</v>
      </c>
      <c r="B267" s="642">
        <v>4</v>
      </c>
      <c r="C267" s="184">
        <v>0</v>
      </c>
      <c r="D267" s="184">
        <v>3</v>
      </c>
      <c r="E267" s="184">
        <v>0</v>
      </c>
      <c r="F267" s="184">
        <v>1</v>
      </c>
      <c r="G267" s="184">
        <v>0</v>
      </c>
      <c r="H267" s="184">
        <v>0</v>
      </c>
      <c r="I267" s="184">
        <v>0</v>
      </c>
      <c r="J267" s="184">
        <v>0</v>
      </c>
      <c r="K267" s="184">
        <v>0</v>
      </c>
      <c r="L267" s="184">
        <v>0</v>
      </c>
      <c r="M267" s="654" t="s">
        <v>24</v>
      </c>
      <c r="N267" s="669" t="s">
        <v>89</v>
      </c>
      <c r="O267" s="642">
        <v>0</v>
      </c>
      <c r="P267" s="184">
        <v>0</v>
      </c>
      <c r="Q267" s="184">
        <v>0</v>
      </c>
      <c r="R267" s="184">
        <v>1</v>
      </c>
      <c r="S267" s="184">
        <v>1</v>
      </c>
      <c r="T267" s="184">
        <v>2</v>
      </c>
      <c r="U267" s="184">
        <v>0</v>
      </c>
      <c r="V267" s="184">
        <v>0</v>
      </c>
      <c r="W267" s="184">
        <v>0</v>
      </c>
      <c r="X267" s="184">
        <v>0</v>
      </c>
      <c r="Y267" s="184">
        <v>0</v>
      </c>
      <c r="Z267" s="184">
        <v>0</v>
      </c>
      <c r="AA267" s="184">
        <v>0</v>
      </c>
      <c r="AB267" s="184">
        <v>0</v>
      </c>
      <c r="AC267" s="185">
        <v>29.3</v>
      </c>
      <c r="AD267" s="185" t="s">
        <v>24</v>
      </c>
      <c r="AE267" s="184">
        <v>0</v>
      </c>
      <c r="AF267" s="185">
        <v>0</v>
      </c>
      <c r="AG267" s="184">
        <v>0</v>
      </c>
      <c r="AH267" s="185">
        <v>0</v>
      </c>
      <c r="AI267" s="184">
        <v>0</v>
      </c>
      <c r="AJ267" s="643">
        <v>0</v>
      </c>
    </row>
    <row r="268" spans="1:36" x14ac:dyDescent="0.2">
      <c r="A268" s="190" t="s">
        <v>90</v>
      </c>
      <c r="B268" s="642">
        <v>17</v>
      </c>
      <c r="C268" s="184">
        <v>0</v>
      </c>
      <c r="D268" s="184">
        <v>11</v>
      </c>
      <c r="E268" s="184">
        <v>1</v>
      </c>
      <c r="F268" s="184">
        <v>4</v>
      </c>
      <c r="G268" s="184">
        <v>0</v>
      </c>
      <c r="H268" s="184">
        <v>0</v>
      </c>
      <c r="I268" s="184">
        <v>0</v>
      </c>
      <c r="J268" s="184">
        <v>0</v>
      </c>
      <c r="K268" s="184">
        <v>1</v>
      </c>
      <c r="L268" s="184">
        <v>0</v>
      </c>
      <c r="M268" s="654" t="s">
        <v>24</v>
      </c>
      <c r="N268" s="669" t="s">
        <v>90</v>
      </c>
      <c r="O268" s="642">
        <v>0</v>
      </c>
      <c r="P268" s="184">
        <v>1</v>
      </c>
      <c r="Q268" s="184">
        <v>1</v>
      </c>
      <c r="R268" s="184">
        <v>1</v>
      </c>
      <c r="S268" s="184">
        <v>1</v>
      </c>
      <c r="T268" s="184">
        <v>0</v>
      </c>
      <c r="U268" s="184">
        <v>6</v>
      </c>
      <c r="V268" s="184">
        <v>4</v>
      </c>
      <c r="W268" s="184">
        <v>3</v>
      </c>
      <c r="X268" s="184">
        <v>0</v>
      </c>
      <c r="Y268" s="184">
        <v>0</v>
      </c>
      <c r="Z268" s="184">
        <v>0</v>
      </c>
      <c r="AA268" s="184">
        <v>0</v>
      </c>
      <c r="AB268" s="184">
        <v>0</v>
      </c>
      <c r="AC268" s="185">
        <v>35.700000000000003</v>
      </c>
      <c r="AD268" s="185">
        <v>45.7</v>
      </c>
      <c r="AE268" s="184">
        <v>0</v>
      </c>
      <c r="AF268" s="185">
        <v>0</v>
      </c>
      <c r="AG268" s="184">
        <v>0</v>
      </c>
      <c r="AH268" s="185">
        <v>0</v>
      </c>
      <c r="AI268" s="184">
        <v>0</v>
      </c>
      <c r="AJ268" s="643">
        <v>0</v>
      </c>
    </row>
    <row r="269" spans="1:36" x14ac:dyDescent="0.2">
      <c r="A269" s="190" t="s">
        <v>55</v>
      </c>
      <c r="B269" s="642">
        <v>8</v>
      </c>
      <c r="C269" s="184">
        <v>0</v>
      </c>
      <c r="D269" s="184">
        <v>8</v>
      </c>
      <c r="E269" s="184">
        <v>0</v>
      </c>
      <c r="F269" s="184">
        <v>0</v>
      </c>
      <c r="G269" s="184">
        <v>0</v>
      </c>
      <c r="H269" s="184">
        <v>0</v>
      </c>
      <c r="I269" s="184">
        <v>0</v>
      </c>
      <c r="J269" s="184">
        <v>0</v>
      </c>
      <c r="K269" s="184">
        <v>0</v>
      </c>
      <c r="L269" s="184">
        <v>0</v>
      </c>
      <c r="M269" s="654" t="s">
        <v>24</v>
      </c>
      <c r="N269" s="669" t="s">
        <v>55</v>
      </c>
      <c r="O269" s="642">
        <v>0</v>
      </c>
      <c r="P269" s="184">
        <v>0</v>
      </c>
      <c r="Q269" s="184">
        <v>0</v>
      </c>
      <c r="R269" s="184">
        <v>0</v>
      </c>
      <c r="S269" s="184">
        <v>2</v>
      </c>
      <c r="T269" s="184">
        <v>1</v>
      </c>
      <c r="U269" s="184">
        <v>1</v>
      </c>
      <c r="V269" s="184">
        <v>3</v>
      </c>
      <c r="W269" s="184">
        <v>0</v>
      </c>
      <c r="X269" s="184">
        <v>1</v>
      </c>
      <c r="Y269" s="184">
        <v>0</v>
      </c>
      <c r="Z269" s="184">
        <v>0</v>
      </c>
      <c r="AA269" s="184">
        <v>0</v>
      </c>
      <c r="AB269" s="184">
        <v>0</v>
      </c>
      <c r="AC269" s="185">
        <v>38</v>
      </c>
      <c r="AD269" s="185" t="s">
        <v>24</v>
      </c>
      <c r="AE269" s="184">
        <v>0</v>
      </c>
      <c r="AF269" s="185">
        <v>0</v>
      </c>
      <c r="AG269" s="184">
        <v>0</v>
      </c>
      <c r="AH269" s="185">
        <v>0</v>
      </c>
      <c r="AI269" s="184">
        <v>0</v>
      </c>
      <c r="AJ269" s="643">
        <v>0</v>
      </c>
    </row>
    <row r="270" spans="1:36" x14ac:dyDescent="0.2">
      <c r="A270" s="190" t="s">
        <v>91</v>
      </c>
      <c r="B270" s="642">
        <v>10</v>
      </c>
      <c r="C270" s="184">
        <v>0</v>
      </c>
      <c r="D270" s="184">
        <v>8</v>
      </c>
      <c r="E270" s="184">
        <v>0</v>
      </c>
      <c r="F270" s="184">
        <v>2</v>
      </c>
      <c r="G270" s="184">
        <v>0</v>
      </c>
      <c r="H270" s="184">
        <v>0</v>
      </c>
      <c r="I270" s="184">
        <v>0</v>
      </c>
      <c r="J270" s="184">
        <v>0</v>
      </c>
      <c r="K270" s="184">
        <v>0</v>
      </c>
      <c r="L270" s="184">
        <v>0</v>
      </c>
      <c r="M270" s="654" t="s">
        <v>24</v>
      </c>
      <c r="N270" s="669" t="s">
        <v>91</v>
      </c>
      <c r="O270" s="642">
        <v>0</v>
      </c>
      <c r="P270" s="184">
        <v>0</v>
      </c>
      <c r="Q270" s="184">
        <v>0</v>
      </c>
      <c r="R270" s="184">
        <v>2</v>
      </c>
      <c r="S270" s="184">
        <v>2</v>
      </c>
      <c r="T270" s="184">
        <v>2</v>
      </c>
      <c r="U270" s="184">
        <v>2</v>
      </c>
      <c r="V270" s="184">
        <v>2</v>
      </c>
      <c r="W270" s="184">
        <v>0</v>
      </c>
      <c r="X270" s="184">
        <v>0</v>
      </c>
      <c r="Y270" s="184">
        <v>0</v>
      </c>
      <c r="Z270" s="184">
        <v>0</v>
      </c>
      <c r="AA270" s="184">
        <v>0</v>
      </c>
      <c r="AB270" s="184">
        <v>0</v>
      </c>
      <c r="AC270" s="185">
        <v>33.200000000000003</v>
      </c>
      <c r="AD270" s="185" t="s">
        <v>24</v>
      </c>
      <c r="AE270" s="184">
        <v>0</v>
      </c>
      <c r="AF270" s="185">
        <v>0</v>
      </c>
      <c r="AG270" s="184">
        <v>0</v>
      </c>
      <c r="AH270" s="185">
        <v>0</v>
      </c>
      <c r="AI270" s="184">
        <v>0</v>
      </c>
      <c r="AJ270" s="643">
        <v>0</v>
      </c>
    </row>
    <row r="271" spans="1:36" x14ac:dyDescent="0.2">
      <c r="A271" s="190" t="s">
        <v>92</v>
      </c>
      <c r="B271" s="642">
        <v>10</v>
      </c>
      <c r="C271" s="184">
        <v>0</v>
      </c>
      <c r="D271" s="184">
        <v>8</v>
      </c>
      <c r="E271" s="184">
        <v>0</v>
      </c>
      <c r="F271" s="184">
        <v>1</v>
      </c>
      <c r="G271" s="184">
        <v>0</v>
      </c>
      <c r="H271" s="184">
        <v>0</v>
      </c>
      <c r="I271" s="184">
        <v>0</v>
      </c>
      <c r="J271" s="184">
        <v>0</v>
      </c>
      <c r="K271" s="184">
        <v>1</v>
      </c>
      <c r="L271" s="184">
        <v>0</v>
      </c>
      <c r="M271" s="654" t="s">
        <v>24</v>
      </c>
      <c r="N271" s="669" t="s">
        <v>92</v>
      </c>
      <c r="O271" s="642">
        <v>0</v>
      </c>
      <c r="P271" s="184">
        <v>0</v>
      </c>
      <c r="Q271" s="184">
        <v>0</v>
      </c>
      <c r="R271" s="184">
        <v>1</v>
      </c>
      <c r="S271" s="184">
        <v>3</v>
      </c>
      <c r="T271" s="184">
        <v>3</v>
      </c>
      <c r="U271" s="184">
        <v>1</v>
      </c>
      <c r="V271" s="184">
        <v>0</v>
      </c>
      <c r="W271" s="184">
        <v>0</v>
      </c>
      <c r="X271" s="184">
        <v>2</v>
      </c>
      <c r="Y271" s="184">
        <v>0</v>
      </c>
      <c r="Z271" s="184">
        <v>0</v>
      </c>
      <c r="AA271" s="184">
        <v>0</v>
      </c>
      <c r="AB271" s="184">
        <v>0</v>
      </c>
      <c r="AC271" s="185">
        <v>35.4</v>
      </c>
      <c r="AD271" s="185" t="s">
        <v>24</v>
      </c>
      <c r="AE271" s="184">
        <v>0</v>
      </c>
      <c r="AF271" s="185">
        <v>0</v>
      </c>
      <c r="AG271" s="184">
        <v>0</v>
      </c>
      <c r="AH271" s="185">
        <v>0</v>
      </c>
      <c r="AI271" s="184">
        <v>0</v>
      </c>
      <c r="AJ271" s="643">
        <v>0</v>
      </c>
    </row>
    <row r="272" spans="1:36" x14ac:dyDescent="0.2">
      <c r="A272" s="190" t="s">
        <v>93</v>
      </c>
      <c r="B272" s="642">
        <v>6</v>
      </c>
      <c r="C272" s="184">
        <v>0</v>
      </c>
      <c r="D272" s="184">
        <v>6</v>
      </c>
      <c r="E272" s="184">
        <v>0</v>
      </c>
      <c r="F272" s="184">
        <v>0</v>
      </c>
      <c r="G272" s="184">
        <v>0</v>
      </c>
      <c r="H272" s="184">
        <v>0</v>
      </c>
      <c r="I272" s="184">
        <v>0</v>
      </c>
      <c r="J272" s="184">
        <v>0</v>
      </c>
      <c r="K272" s="184">
        <v>0</v>
      </c>
      <c r="L272" s="184">
        <v>0</v>
      </c>
      <c r="M272" s="654" t="s">
        <v>24</v>
      </c>
      <c r="N272" s="669" t="s">
        <v>93</v>
      </c>
      <c r="O272" s="642">
        <v>0</v>
      </c>
      <c r="P272" s="184">
        <v>1</v>
      </c>
      <c r="Q272" s="184">
        <v>0</v>
      </c>
      <c r="R272" s="184">
        <v>0</v>
      </c>
      <c r="S272" s="184">
        <v>1</v>
      </c>
      <c r="T272" s="184">
        <v>2</v>
      </c>
      <c r="U272" s="184">
        <v>1</v>
      </c>
      <c r="V272" s="184">
        <v>1</v>
      </c>
      <c r="W272" s="184">
        <v>0</v>
      </c>
      <c r="X272" s="184">
        <v>0</v>
      </c>
      <c r="Y272" s="184">
        <v>0</v>
      </c>
      <c r="Z272" s="184">
        <v>0</v>
      </c>
      <c r="AA272" s="184">
        <v>0</v>
      </c>
      <c r="AB272" s="184">
        <v>0</v>
      </c>
      <c r="AC272" s="185">
        <v>30.5</v>
      </c>
      <c r="AD272" s="185" t="s">
        <v>24</v>
      </c>
      <c r="AE272" s="184">
        <v>0</v>
      </c>
      <c r="AF272" s="185">
        <v>0</v>
      </c>
      <c r="AG272" s="184">
        <v>0</v>
      </c>
      <c r="AH272" s="185">
        <v>0</v>
      </c>
      <c r="AI272" s="184">
        <v>0</v>
      </c>
      <c r="AJ272" s="643">
        <v>0</v>
      </c>
    </row>
    <row r="273" spans="1:36" x14ac:dyDescent="0.2">
      <c r="A273" s="190" t="s">
        <v>57</v>
      </c>
      <c r="B273" s="642">
        <v>8</v>
      </c>
      <c r="C273" s="184">
        <v>0</v>
      </c>
      <c r="D273" s="184">
        <v>8</v>
      </c>
      <c r="E273" s="184">
        <v>0</v>
      </c>
      <c r="F273" s="184">
        <v>0</v>
      </c>
      <c r="G273" s="184">
        <v>0</v>
      </c>
      <c r="H273" s="184">
        <v>0</v>
      </c>
      <c r="I273" s="184">
        <v>0</v>
      </c>
      <c r="J273" s="184">
        <v>0</v>
      </c>
      <c r="K273" s="184">
        <v>0</v>
      </c>
      <c r="L273" s="184">
        <v>0</v>
      </c>
      <c r="M273" s="654" t="s">
        <v>24</v>
      </c>
      <c r="N273" s="669" t="s">
        <v>57</v>
      </c>
      <c r="O273" s="642">
        <v>0</v>
      </c>
      <c r="P273" s="184">
        <v>0</v>
      </c>
      <c r="Q273" s="184">
        <v>0</v>
      </c>
      <c r="R273" s="184">
        <v>1</v>
      </c>
      <c r="S273" s="184">
        <v>1</v>
      </c>
      <c r="T273" s="184">
        <v>2</v>
      </c>
      <c r="U273" s="184">
        <v>3</v>
      </c>
      <c r="V273" s="184">
        <v>1</v>
      </c>
      <c r="W273" s="184">
        <v>0</v>
      </c>
      <c r="X273" s="184">
        <v>0</v>
      </c>
      <c r="Y273" s="184">
        <v>0</v>
      </c>
      <c r="Z273" s="184">
        <v>0</v>
      </c>
      <c r="AA273" s="184">
        <v>0</v>
      </c>
      <c r="AB273" s="184">
        <v>0</v>
      </c>
      <c r="AC273" s="185">
        <v>34.4</v>
      </c>
      <c r="AD273" s="185" t="s">
        <v>24</v>
      </c>
      <c r="AE273" s="184">
        <v>0</v>
      </c>
      <c r="AF273" s="185">
        <v>0</v>
      </c>
      <c r="AG273" s="184">
        <v>0</v>
      </c>
      <c r="AH273" s="185">
        <v>0</v>
      </c>
      <c r="AI273" s="184">
        <v>0</v>
      </c>
      <c r="AJ273" s="643">
        <v>0</v>
      </c>
    </row>
    <row r="274" spans="1:36" x14ac:dyDescent="0.2">
      <c r="A274" s="190" t="s">
        <v>94</v>
      </c>
      <c r="B274" s="642">
        <v>7</v>
      </c>
      <c r="C274" s="184">
        <v>0</v>
      </c>
      <c r="D274" s="184">
        <v>7</v>
      </c>
      <c r="E274" s="184">
        <v>0</v>
      </c>
      <c r="F274" s="184">
        <v>0</v>
      </c>
      <c r="G274" s="184">
        <v>0</v>
      </c>
      <c r="H274" s="184">
        <v>0</v>
      </c>
      <c r="I274" s="184">
        <v>0</v>
      </c>
      <c r="J274" s="184">
        <v>0</v>
      </c>
      <c r="K274" s="184">
        <v>0</v>
      </c>
      <c r="L274" s="184">
        <v>0</v>
      </c>
      <c r="M274" s="654" t="s">
        <v>24</v>
      </c>
      <c r="N274" s="669" t="s">
        <v>94</v>
      </c>
      <c r="O274" s="642">
        <v>0</v>
      </c>
      <c r="P274" s="184">
        <v>0</v>
      </c>
      <c r="Q274" s="184">
        <v>0</v>
      </c>
      <c r="R274" s="184">
        <v>0</v>
      </c>
      <c r="S274" s="184">
        <v>0</v>
      </c>
      <c r="T274" s="184">
        <v>1</v>
      </c>
      <c r="U274" s="184">
        <v>0</v>
      </c>
      <c r="V274" s="184">
        <v>4</v>
      </c>
      <c r="W274" s="184">
        <v>2</v>
      </c>
      <c r="X274" s="184">
        <v>0</v>
      </c>
      <c r="Y274" s="184">
        <v>0</v>
      </c>
      <c r="Z274" s="184">
        <v>0</v>
      </c>
      <c r="AA274" s="184">
        <v>0</v>
      </c>
      <c r="AB274" s="184">
        <v>0</v>
      </c>
      <c r="AC274" s="185">
        <v>42.9</v>
      </c>
      <c r="AD274" s="185" t="s">
        <v>24</v>
      </c>
      <c r="AE274" s="184">
        <v>0</v>
      </c>
      <c r="AF274" s="185">
        <v>0</v>
      </c>
      <c r="AG274" s="184">
        <v>0</v>
      </c>
      <c r="AH274" s="185">
        <v>0</v>
      </c>
      <c r="AI274" s="184">
        <v>0</v>
      </c>
      <c r="AJ274" s="643">
        <v>0</v>
      </c>
    </row>
    <row r="275" spans="1:36" x14ac:dyDescent="0.2">
      <c r="A275" s="190" t="s">
        <v>95</v>
      </c>
      <c r="B275" s="642">
        <v>9</v>
      </c>
      <c r="C275" s="184">
        <v>0</v>
      </c>
      <c r="D275" s="184">
        <v>8</v>
      </c>
      <c r="E275" s="184">
        <v>1</v>
      </c>
      <c r="F275" s="184">
        <v>0</v>
      </c>
      <c r="G275" s="184">
        <v>0</v>
      </c>
      <c r="H275" s="184">
        <v>0</v>
      </c>
      <c r="I275" s="184">
        <v>0</v>
      </c>
      <c r="J275" s="184">
        <v>0</v>
      </c>
      <c r="K275" s="184">
        <v>0</v>
      </c>
      <c r="L275" s="184">
        <v>0</v>
      </c>
      <c r="M275" s="654" t="s">
        <v>24</v>
      </c>
      <c r="N275" s="669" t="s">
        <v>95</v>
      </c>
      <c r="O275" s="642">
        <v>0</v>
      </c>
      <c r="P275" s="184">
        <v>0</v>
      </c>
      <c r="Q275" s="184">
        <v>0</v>
      </c>
      <c r="R275" s="184">
        <v>1</v>
      </c>
      <c r="S275" s="184">
        <v>0</v>
      </c>
      <c r="T275" s="184">
        <v>1</v>
      </c>
      <c r="U275" s="184">
        <v>3</v>
      </c>
      <c r="V275" s="184">
        <v>2</v>
      </c>
      <c r="W275" s="184">
        <v>2</v>
      </c>
      <c r="X275" s="184">
        <v>0</v>
      </c>
      <c r="Y275" s="184">
        <v>0</v>
      </c>
      <c r="Z275" s="184">
        <v>0</v>
      </c>
      <c r="AA275" s="184">
        <v>0</v>
      </c>
      <c r="AB275" s="184">
        <v>0</v>
      </c>
      <c r="AC275" s="185">
        <v>38.6</v>
      </c>
      <c r="AD275" s="185" t="s">
        <v>24</v>
      </c>
      <c r="AE275" s="184">
        <v>0</v>
      </c>
      <c r="AF275" s="185">
        <v>0</v>
      </c>
      <c r="AG275" s="184">
        <v>0</v>
      </c>
      <c r="AH275" s="185">
        <v>0</v>
      </c>
      <c r="AI275" s="184">
        <v>0</v>
      </c>
      <c r="AJ275" s="643">
        <v>0</v>
      </c>
    </row>
    <row r="276" spans="1:36" x14ac:dyDescent="0.2">
      <c r="A276" s="190" t="s">
        <v>96</v>
      </c>
      <c r="B276" s="642">
        <v>7</v>
      </c>
      <c r="C276" s="184">
        <v>0</v>
      </c>
      <c r="D276" s="184">
        <v>5</v>
      </c>
      <c r="E276" s="184">
        <v>1</v>
      </c>
      <c r="F276" s="184">
        <v>1</v>
      </c>
      <c r="G276" s="184">
        <v>0</v>
      </c>
      <c r="H276" s="184">
        <v>0</v>
      </c>
      <c r="I276" s="184">
        <v>0</v>
      </c>
      <c r="J276" s="184">
        <v>0</v>
      </c>
      <c r="K276" s="184">
        <v>0</v>
      </c>
      <c r="L276" s="184">
        <v>0</v>
      </c>
      <c r="M276" s="654" t="s">
        <v>24</v>
      </c>
      <c r="N276" s="669" t="s">
        <v>96</v>
      </c>
      <c r="O276" s="642">
        <v>0</v>
      </c>
      <c r="P276" s="184">
        <v>0</v>
      </c>
      <c r="Q276" s="184">
        <v>0</v>
      </c>
      <c r="R276" s="184">
        <v>0</v>
      </c>
      <c r="S276" s="184">
        <v>0</v>
      </c>
      <c r="T276" s="184">
        <v>0</v>
      </c>
      <c r="U276" s="184">
        <v>3</v>
      </c>
      <c r="V276" s="184">
        <v>3</v>
      </c>
      <c r="W276" s="184">
        <v>0</v>
      </c>
      <c r="X276" s="184">
        <v>1</v>
      </c>
      <c r="Y276" s="184">
        <v>0</v>
      </c>
      <c r="Z276" s="184">
        <v>0</v>
      </c>
      <c r="AA276" s="184">
        <v>0</v>
      </c>
      <c r="AB276" s="184">
        <v>0</v>
      </c>
      <c r="AC276" s="185">
        <v>41.8</v>
      </c>
      <c r="AD276" s="185" t="s">
        <v>24</v>
      </c>
      <c r="AE276" s="184">
        <v>0</v>
      </c>
      <c r="AF276" s="185">
        <v>0</v>
      </c>
      <c r="AG276" s="184">
        <v>0</v>
      </c>
      <c r="AH276" s="185">
        <v>0</v>
      </c>
      <c r="AI276" s="184">
        <v>0</v>
      </c>
      <c r="AJ276" s="643">
        <v>0</v>
      </c>
    </row>
    <row r="277" spans="1:36" x14ac:dyDescent="0.2">
      <c r="A277" s="190" t="s">
        <v>58</v>
      </c>
      <c r="B277" s="642">
        <v>10</v>
      </c>
      <c r="C277" s="184">
        <v>0</v>
      </c>
      <c r="D277" s="184">
        <v>9</v>
      </c>
      <c r="E277" s="184">
        <v>0</v>
      </c>
      <c r="F277" s="184">
        <v>0</v>
      </c>
      <c r="G277" s="184">
        <v>1</v>
      </c>
      <c r="H277" s="184">
        <v>0</v>
      </c>
      <c r="I277" s="184">
        <v>0</v>
      </c>
      <c r="J277" s="184">
        <v>0</v>
      </c>
      <c r="K277" s="184">
        <v>0</v>
      </c>
      <c r="L277" s="184">
        <v>0</v>
      </c>
      <c r="M277" s="654" t="s">
        <v>24</v>
      </c>
      <c r="N277" s="669" t="s">
        <v>58</v>
      </c>
      <c r="O277" s="642">
        <v>0</v>
      </c>
      <c r="P277" s="184">
        <v>0</v>
      </c>
      <c r="Q277" s="184">
        <v>0</v>
      </c>
      <c r="R277" s="184">
        <v>1</v>
      </c>
      <c r="S277" s="184">
        <v>4</v>
      </c>
      <c r="T277" s="184">
        <v>3</v>
      </c>
      <c r="U277" s="184">
        <v>1</v>
      </c>
      <c r="V277" s="184">
        <v>1</v>
      </c>
      <c r="W277" s="184">
        <v>0</v>
      </c>
      <c r="X277" s="184">
        <v>0</v>
      </c>
      <c r="Y277" s="184">
        <v>0</v>
      </c>
      <c r="Z277" s="184">
        <v>0</v>
      </c>
      <c r="AA277" s="184">
        <v>0</v>
      </c>
      <c r="AB277" s="184">
        <v>0</v>
      </c>
      <c r="AC277" s="185">
        <v>31.6</v>
      </c>
      <c r="AD277" s="185" t="s">
        <v>24</v>
      </c>
      <c r="AE277" s="184">
        <v>0</v>
      </c>
      <c r="AF277" s="185">
        <v>0</v>
      </c>
      <c r="AG277" s="184">
        <v>0</v>
      </c>
      <c r="AH277" s="185">
        <v>0</v>
      </c>
      <c r="AI277" s="184">
        <v>0</v>
      </c>
      <c r="AJ277" s="643">
        <v>0</v>
      </c>
    </row>
    <row r="278" spans="1:36" x14ac:dyDescent="0.2">
      <c r="A278" s="190" t="s">
        <v>97</v>
      </c>
      <c r="B278" s="642">
        <v>11</v>
      </c>
      <c r="C278" s="184">
        <v>0</v>
      </c>
      <c r="D278" s="184">
        <v>9</v>
      </c>
      <c r="E278" s="184">
        <v>0</v>
      </c>
      <c r="F278" s="184">
        <v>0</v>
      </c>
      <c r="G278" s="184">
        <v>1</v>
      </c>
      <c r="H278" s="184">
        <v>0</v>
      </c>
      <c r="I278" s="184">
        <v>0</v>
      </c>
      <c r="J278" s="184">
        <v>0</v>
      </c>
      <c r="K278" s="184">
        <v>0</v>
      </c>
      <c r="L278" s="184">
        <v>1</v>
      </c>
      <c r="M278" s="654" t="s">
        <v>24</v>
      </c>
      <c r="N278" s="669" t="s">
        <v>97</v>
      </c>
      <c r="O278" s="642">
        <v>0</v>
      </c>
      <c r="P278" s="184">
        <v>2</v>
      </c>
      <c r="Q278" s="184">
        <v>0</v>
      </c>
      <c r="R278" s="184">
        <v>0</v>
      </c>
      <c r="S278" s="184">
        <v>0</v>
      </c>
      <c r="T278" s="184">
        <v>1</v>
      </c>
      <c r="U278" s="184">
        <v>5</v>
      </c>
      <c r="V278" s="184">
        <v>3</v>
      </c>
      <c r="W278" s="184">
        <v>0</v>
      </c>
      <c r="X278" s="184">
        <v>0</v>
      </c>
      <c r="Y278" s="184">
        <v>0</v>
      </c>
      <c r="Z278" s="184">
        <v>0</v>
      </c>
      <c r="AA278" s="184">
        <v>0</v>
      </c>
      <c r="AB278" s="184">
        <v>0</v>
      </c>
      <c r="AC278" s="185">
        <v>34.6</v>
      </c>
      <c r="AD278" s="185">
        <v>43.3</v>
      </c>
      <c r="AE278" s="184">
        <v>0</v>
      </c>
      <c r="AF278" s="185">
        <v>0</v>
      </c>
      <c r="AG278" s="184">
        <v>0</v>
      </c>
      <c r="AH278" s="185">
        <v>0</v>
      </c>
      <c r="AI278" s="184">
        <v>0</v>
      </c>
      <c r="AJ278" s="643">
        <v>0</v>
      </c>
    </row>
    <row r="279" spans="1:36" x14ac:dyDescent="0.2">
      <c r="A279" s="190" t="s">
        <v>98</v>
      </c>
      <c r="B279" s="642">
        <v>9</v>
      </c>
      <c r="C279" s="184">
        <v>0</v>
      </c>
      <c r="D279" s="184">
        <v>7</v>
      </c>
      <c r="E279" s="184">
        <v>0</v>
      </c>
      <c r="F279" s="184">
        <v>1</v>
      </c>
      <c r="G279" s="184">
        <v>1</v>
      </c>
      <c r="H279" s="184">
        <v>0</v>
      </c>
      <c r="I279" s="184">
        <v>0</v>
      </c>
      <c r="J279" s="184">
        <v>0</v>
      </c>
      <c r="K279" s="184">
        <v>0</v>
      </c>
      <c r="L279" s="184">
        <v>0</v>
      </c>
      <c r="M279" s="654" t="s">
        <v>24</v>
      </c>
      <c r="N279" s="669" t="s">
        <v>98</v>
      </c>
      <c r="O279" s="642">
        <v>0</v>
      </c>
      <c r="P279" s="184">
        <v>0</v>
      </c>
      <c r="Q279" s="184">
        <v>0</v>
      </c>
      <c r="R279" s="184">
        <v>0</v>
      </c>
      <c r="S279" s="184">
        <v>1</v>
      </c>
      <c r="T279" s="184">
        <v>3</v>
      </c>
      <c r="U279" s="184">
        <v>1</v>
      </c>
      <c r="V279" s="184">
        <v>3</v>
      </c>
      <c r="W279" s="184">
        <v>1</v>
      </c>
      <c r="X279" s="184">
        <v>0</v>
      </c>
      <c r="Y279" s="184">
        <v>0</v>
      </c>
      <c r="Z279" s="184">
        <v>0</v>
      </c>
      <c r="AA279" s="184">
        <v>0</v>
      </c>
      <c r="AB279" s="184">
        <v>0</v>
      </c>
      <c r="AC279" s="185">
        <v>36.6</v>
      </c>
      <c r="AD279" s="185" t="s">
        <v>24</v>
      </c>
      <c r="AE279" s="184">
        <v>0</v>
      </c>
      <c r="AF279" s="185">
        <v>0</v>
      </c>
      <c r="AG279" s="184">
        <v>0</v>
      </c>
      <c r="AH279" s="185">
        <v>0</v>
      </c>
      <c r="AI279" s="184">
        <v>0</v>
      </c>
      <c r="AJ279" s="643">
        <v>0</v>
      </c>
    </row>
    <row r="280" spans="1:36" x14ac:dyDescent="0.2">
      <c r="A280" s="190" t="s">
        <v>99</v>
      </c>
      <c r="B280" s="642">
        <v>9</v>
      </c>
      <c r="C280" s="184">
        <v>0</v>
      </c>
      <c r="D280" s="184">
        <v>9</v>
      </c>
      <c r="E280" s="184">
        <v>0</v>
      </c>
      <c r="F280" s="184">
        <v>0</v>
      </c>
      <c r="G280" s="184">
        <v>0</v>
      </c>
      <c r="H280" s="184">
        <v>0</v>
      </c>
      <c r="I280" s="184">
        <v>0</v>
      </c>
      <c r="J280" s="184">
        <v>0</v>
      </c>
      <c r="K280" s="184">
        <v>0</v>
      </c>
      <c r="L280" s="184">
        <v>0</v>
      </c>
      <c r="M280" s="654" t="s">
        <v>24</v>
      </c>
      <c r="N280" s="669" t="s">
        <v>99</v>
      </c>
      <c r="O280" s="642">
        <v>0</v>
      </c>
      <c r="P280" s="184">
        <v>0</v>
      </c>
      <c r="Q280" s="184">
        <v>0</v>
      </c>
      <c r="R280" s="184">
        <v>0</v>
      </c>
      <c r="S280" s="184">
        <v>3</v>
      </c>
      <c r="T280" s="184">
        <v>4</v>
      </c>
      <c r="U280" s="184">
        <v>2</v>
      </c>
      <c r="V280" s="184">
        <v>0</v>
      </c>
      <c r="W280" s="184">
        <v>0</v>
      </c>
      <c r="X280" s="184">
        <v>0</v>
      </c>
      <c r="Y280" s="184">
        <v>0</v>
      </c>
      <c r="Z280" s="184">
        <v>0</v>
      </c>
      <c r="AA280" s="184">
        <v>0</v>
      </c>
      <c r="AB280" s="184">
        <v>0</v>
      </c>
      <c r="AC280" s="185">
        <v>32.200000000000003</v>
      </c>
      <c r="AD280" s="185" t="s">
        <v>24</v>
      </c>
      <c r="AE280" s="184">
        <v>0</v>
      </c>
      <c r="AF280" s="185">
        <v>0</v>
      </c>
      <c r="AG280" s="184">
        <v>0</v>
      </c>
      <c r="AH280" s="185">
        <v>0</v>
      </c>
      <c r="AI280" s="184">
        <v>0</v>
      </c>
      <c r="AJ280" s="643">
        <v>0</v>
      </c>
    </row>
    <row r="281" spans="1:36" x14ac:dyDescent="0.2">
      <c r="A281" s="190" t="s">
        <v>60</v>
      </c>
      <c r="B281" s="642">
        <v>7</v>
      </c>
      <c r="C281" s="184">
        <v>0</v>
      </c>
      <c r="D281" s="184">
        <v>7</v>
      </c>
      <c r="E281" s="184">
        <v>0</v>
      </c>
      <c r="F281" s="184">
        <v>0</v>
      </c>
      <c r="G281" s="184">
        <v>0</v>
      </c>
      <c r="H281" s="184">
        <v>0</v>
      </c>
      <c r="I281" s="184">
        <v>0</v>
      </c>
      <c r="J281" s="184">
        <v>0</v>
      </c>
      <c r="K281" s="184">
        <v>0</v>
      </c>
      <c r="L281" s="184">
        <v>0</v>
      </c>
      <c r="M281" s="654" t="s">
        <v>24</v>
      </c>
      <c r="N281" s="669" t="s">
        <v>60</v>
      </c>
      <c r="O281" s="642">
        <v>0</v>
      </c>
      <c r="P281" s="184">
        <v>0</v>
      </c>
      <c r="Q281" s="184">
        <v>0</v>
      </c>
      <c r="R281" s="184">
        <v>0</v>
      </c>
      <c r="S281" s="184">
        <v>2</v>
      </c>
      <c r="T281" s="184">
        <v>1</v>
      </c>
      <c r="U281" s="184">
        <v>3</v>
      </c>
      <c r="V281" s="184">
        <v>1</v>
      </c>
      <c r="W281" s="184">
        <v>0</v>
      </c>
      <c r="X281" s="184">
        <v>0</v>
      </c>
      <c r="Y281" s="184">
        <v>0</v>
      </c>
      <c r="Z281" s="184">
        <v>0</v>
      </c>
      <c r="AA281" s="184">
        <v>0</v>
      </c>
      <c r="AB281" s="184">
        <v>0</v>
      </c>
      <c r="AC281" s="185">
        <v>34.9</v>
      </c>
      <c r="AD281" s="185" t="s">
        <v>24</v>
      </c>
      <c r="AE281" s="184">
        <v>0</v>
      </c>
      <c r="AF281" s="185">
        <v>0</v>
      </c>
      <c r="AG281" s="184">
        <v>0</v>
      </c>
      <c r="AH281" s="185">
        <v>0</v>
      </c>
      <c r="AI281" s="184">
        <v>0</v>
      </c>
      <c r="AJ281" s="643">
        <v>0</v>
      </c>
    </row>
    <row r="282" spans="1:36" x14ac:dyDescent="0.2">
      <c r="A282" s="190" t="s">
        <v>100</v>
      </c>
      <c r="B282" s="642">
        <v>8</v>
      </c>
      <c r="C282" s="184">
        <v>0</v>
      </c>
      <c r="D282" s="184">
        <v>6</v>
      </c>
      <c r="E282" s="184">
        <v>0</v>
      </c>
      <c r="F282" s="184">
        <v>2</v>
      </c>
      <c r="G282" s="184">
        <v>0</v>
      </c>
      <c r="H282" s="184">
        <v>0</v>
      </c>
      <c r="I282" s="184">
        <v>0</v>
      </c>
      <c r="J282" s="184">
        <v>0</v>
      </c>
      <c r="K282" s="184">
        <v>0</v>
      </c>
      <c r="L282" s="184">
        <v>0</v>
      </c>
      <c r="M282" s="654" t="s">
        <v>24</v>
      </c>
      <c r="N282" s="669" t="s">
        <v>100</v>
      </c>
      <c r="O282" s="642">
        <v>0</v>
      </c>
      <c r="P282" s="184">
        <v>0</v>
      </c>
      <c r="Q282" s="184">
        <v>0</v>
      </c>
      <c r="R282" s="184">
        <v>0</v>
      </c>
      <c r="S282" s="184">
        <v>4</v>
      </c>
      <c r="T282" s="184">
        <v>1</v>
      </c>
      <c r="U282" s="184">
        <v>1</v>
      </c>
      <c r="V282" s="184">
        <v>2</v>
      </c>
      <c r="W282" s="184">
        <v>0</v>
      </c>
      <c r="X282" s="184">
        <v>0</v>
      </c>
      <c r="Y282" s="184">
        <v>0</v>
      </c>
      <c r="Z282" s="184">
        <v>0</v>
      </c>
      <c r="AA282" s="184">
        <v>0</v>
      </c>
      <c r="AB282" s="184">
        <v>0</v>
      </c>
      <c r="AC282" s="185">
        <v>33.1</v>
      </c>
      <c r="AD282" s="185" t="s">
        <v>24</v>
      </c>
      <c r="AE282" s="184">
        <v>0</v>
      </c>
      <c r="AF282" s="185">
        <v>0</v>
      </c>
      <c r="AG282" s="184">
        <v>0</v>
      </c>
      <c r="AH282" s="185">
        <v>0</v>
      </c>
      <c r="AI282" s="184">
        <v>0</v>
      </c>
      <c r="AJ282" s="643">
        <v>0</v>
      </c>
    </row>
    <row r="283" spans="1:36" x14ac:dyDescent="0.2">
      <c r="A283" s="190" t="s">
        <v>101</v>
      </c>
      <c r="B283" s="642">
        <v>7</v>
      </c>
      <c r="C283" s="184">
        <v>0</v>
      </c>
      <c r="D283" s="184">
        <v>7</v>
      </c>
      <c r="E283" s="184">
        <v>0</v>
      </c>
      <c r="F283" s="184">
        <v>0</v>
      </c>
      <c r="G283" s="184">
        <v>0</v>
      </c>
      <c r="H283" s="184">
        <v>0</v>
      </c>
      <c r="I283" s="184">
        <v>0</v>
      </c>
      <c r="J283" s="184">
        <v>0</v>
      </c>
      <c r="K283" s="184">
        <v>0</v>
      </c>
      <c r="L283" s="184">
        <v>0</v>
      </c>
      <c r="M283" s="654" t="s">
        <v>24</v>
      </c>
      <c r="N283" s="669" t="s">
        <v>101</v>
      </c>
      <c r="O283" s="642">
        <v>0</v>
      </c>
      <c r="P283" s="184">
        <v>0</v>
      </c>
      <c r="Q283" s="184">
        <v>0</v>
      </c>
      <c r="R283" s="184">
        <v>0</v>
      </c>
      <c r="S283" s="184">
        <v>0</v>
      </c>
      <c r="T283" s="184">
        <v>4</v>
      </c>
      <c r="U283" s="184">
        <v>3</v>
      </c>
      <c r="V283" s="184">
        <v>0</v>
      </c>
      <c r="W283" s="184">
        <v>0</v>
      </c>
      <c r="X283" s="184">
        <v>0</v>
      </c>
      <c r="Y283" s="184">
        <v>0</v>
      </c>
      <c r="Z283" s="184">
        <v>0</v>
      </c>
      <c r="AA283" s="184">
        <v>0</v>
      </c>
      <c r="AB283" s="184">
        <v>0</v>
      </c>
      <c r="AC283" s="185">
        <v>34.299999999999997</v>
      </c>
      <c r="AD283" s="185" t="s">
        <v>24</v>
      </c>
      <c r="AE283" s="184">
        <v>0</v>
      </c>
      <c r="AF283" s="185">
        <v>0</v>
      </c>
      <c r="AG283" s="184">
        <v>0</v>
      </c>
      <c r="AH283" s="185">
        <v>0</v>
      </c>
      <c r="AI283" s="184">
        <v>0</v>
      </c>
      <c r="AJ283" s="643">
        <v>0</v>
      </c>
    </row>
    <row r="284" spans="1:36" x14ac:dyDescent="0.2">
      <c r="A284" s="190" t="s">
        <v>102</v>
      </c>
      <c r="B284" s="642">
        <v>10</v>
      </c>
      <c r="C284" s="184">
        <v>0</v>
      </c>
      <c r="D284" s="184">
        <v>8</v>
      </c>
      <c r="E284" s="184">
        <v>0</v>
      </c>
      <c r="F284" s="184">
        <v>1</v>
      </c>
      <c r="G284" s="184">
        <v>0</v>
      </c>
      <c r="H284" s="184">
        <v>0</v>
      </c>
      <c r="I284" s="184">
        <v>0</v>
      </c>
      <c r="J284" s="184">
        <v>0</v>
      </c>
      <c r="K284" s="184">
        <v>0</v>
      </c>
      <c r="L284" s="184">
        <v>1</v>
      </c>
      <c r="M284" s="654" t="s">
        <v>24</v>
      </c>
      <c r="N284" s="669" t="s">
        <v>102</v>
      </c>
      <c r="O284" s="642">
        <v>0</v>
      </c>
      <c r="P284" s="184">
        <v>0</v>
      </c>
      <c r="Q284" s="184">
        <v>0</v>
      </c>
      <c r="R284" s="184">
        <v>0</v>
      </c>
      <c r="S284" s="184">
        <v>0</v>
      </c>
      <c r="T284" s="184">
        <v>1</v>
      </c>
      <c r="U284" s="184">
        <v>5</v>
      </c>
      <c r="V284" s="184">
        <v>2</v>
      </c>
      <c r="W284" s="184">
        <v>0</v>
      </c>
      <c r="X284" s="184">
        <v>1</v>
      </c>
      <c r="Y284" s="184">
        <v>0</v>
      </c>
      <c r="Z284" s="184">
        <v>1</v>
      </c>
      <c r="AA284" s="184">
        <v>0</v>
      </c>
      <c r="AB284" s="184">
        <v>0</v>
      </c>
      <c r="AC284" s="185">
        <v>43.7</v>
      </c>
      <c r="AD284" s="185" t="s">
        <v>24</v>
      </c>
      <c r="AE284" s="184">
        <v>1</v>
      </c>
      <c r="AF284" s="185">
        <v>10</v>
      </c>
      <c r="AG284" s="184">
        <v>1</v>
      </c>
      <c r="AH284" s="185">
        <v>10</v>
      </c>
      <c r="AI284" s="184">
        <v>1</v>
      </c>
      <c r="AJ284" s="643">
        <v>10</v>
      </c>
    </row>
    <row r="285" spans="1:36" x14ac:dyDescent="0.2">
      <c r="A285" s="190" t="s">
        <v>62</v>
      </c>
      <c r="B285" s="642">
        <v>7</v>
      </c>
      <c r="C285" s="184">
        <v>1</v>
      </c>
      <c r="D285" s="184">
        <v>5</v>
      </c>
      <c r="E285" s="184">
        <v>0</v>
      </c>
      <c r="F285" s="184">
        <v>1</v>
      </c>
      <c r="G285" s="184">
        <v>0</v>
      </c>
      <c r="H285" s="184">
        <v>0</v>
      </c>
      <c r="I285" s="184">
        <v>0</v>
      </c>
      <c r="J285" s="184">
        <v>0</v>
      </c>
      <c r="K285" s="184">
        <v>0</v>
      </c>
      <c r="L285" s="184">
        <v>0</v>
      </c>
      <c r="M285" s="654" t="s">
        <v>24</v>
      </c>
      <c r="N285" s="669" t="s">
        <v>62</v>
      </c>
      <c r="O285" s="642">
        <v>0</v>
      </c>
      <c r="P285" s="184">
        <v>1</v>
      </c>
      <c r="Q285" s="184">
        <v>0</v>
      </c>
      <c r="R285" s="184">
        <v>0</v>
      </c>
      <c r="S285" s="184">
        <v>0</v>
      </c>
      <c r="T285" s="184">
        <v>2</v>
      </c>
      <c r="U285" s="184">
        <v>3</v>
      </c>
      <c r="V285" s="184">
        <v>1</v>
      </c>
      <c r="W285" s="184">
        <v>0</v>
      </c>
      <c r="X285" s="184">
        <v>0</v>
      </c>
      <c r="Y285" s="184">
        <v>0</v>
      </c>
      <c r="Z285" s="184">
        <v>0</v>
      </c>
      <c r="AA285" s="184">
        <v>0</v>
      </c>
      <c r="AB285" s="184">
        <v>0</v>
      </c>
      <c r="AC285" s="185">
        <v>33.1</v>
      </c>
      <c r="AD285" s="185" t="s">
        <v>24</v>
      </c>
      <c r="AE285" s="184">
        <v>0</v>
      </c>
      <c r="AF285" s="185">
        <v>0</v>
      </c>
      <c r="AG285" s="184">
        <v>0</v>
      </c>
      <c r="AH285" s="185">
        <v>0</v>
      </c>
      <c r="AI285" s="184">
        <v>0</v>
      </c>
      <c r="AJ285" s="643">
        <v>0</v>
      </c>
    </row>
    <row r="286" spans="1:36" x14ac:dyDescent="0.2">
      <c r="A286" s="190" t="s">
        <v>103</v>
      </c>
      <c r="B286" s="642">
        <v>11</v>
      </c>
      <c r="C286" s="184">
        <v>0</v>
      </c>
      <c r="D286" s="184">
        <v>7</v>
      </c>
      <c r="E286" s="184">
        <v>0</v>
      </c>
      <c r="F286" s="184">
        <v>2</v>
      </c>
      <c r="G286" s="184">
        <v>0</v>
      </c>
      <c r="H286" s="184">
        <v>1</v>
      </c>
      <c r="I286" s="184">
        <v>1</v>
      </c>
      <c r="J286" s="184">
        <v>0</v>
      </c>
      <c r="K286" s="184">
        <v>0</v>
      </c>
      <c r="L286" s="184">
        <v>0</v>
      </c>
      <c r="M286" s="654" t="s">
        <v>24</v>
      </c>
      <c r="N286" s="669" t="s">
        <v>103</v>
      </c>
      <c r="O286" s="642">
        <v>0</v>
      </c>
      <c r="P286" s="184">
        <v>0</v>
      </c>
      <c r="Q286" s="184">
        <v>0</v>
      </c>
      <c r="R286" s="184">
        <v>0</v>
      </c>
      <c r="S286" s="184">
        <v>2</v>
      </c>
      <c r="T286" s="184">
        <v>5</v>
      </c>
      <c r="U286" s="184">
        <v>2</v>
      </c>
      <c r="V286" s="184">
        <v>1</v>
      </c>
      <c r="W286" s="184">
        <v>0</v>
      </c>
      <c r="X286" s="184">
        <v>1</v>
      </c>
      <c r="Y286" s="184">
        <v>0</v>
      </c>
      <c r="Z286" s="184">
        <v>0</v>
      </c>
      <c r="AA286" s="184">
        <v>0</v>
      </c>
      <c r="AB286" s="184">
        <v>0</v>
      </c>
      <c r="AC286" s="185">
        <v>35.299999999999997</v>
      </c>
      <c r="AD286" s="185">
        <v>43.1</v>
      </c>
      <c r="AE286" s="184">
        <v>0</v>
      </c>
      <c r="AF286" s="185">
        <v>0</v>
      </c>
      <c r="AG286" s="184">
        <v>0</v>
      </c>
      <c r="AH286" s="185">
        <v>0</v>
      </c>
      <c r="AI286" s="184">
        <v>0</v>
      </c>
      <c r="AJ286" s="643">
        <v>0</v>
      </c>
    </row>
    <row r="287" spans="1:36" x14ac:dyDescent="0.2">
      <c r="A287" s="190" t="s">
        <v>104</v>
      </c>
      <c r="B287" s="642">
        <v>11</v>
      </c>
      <c r="C287" s="184">
        <v>0</v>
      </c>
      <c r="D287" s="184">
        <v>8</v>
      </c>
      <c r="E287" s="184">
        <v>1</v>
      </c>
      <c r="F287" s="184">
        <v>2</v>
      </c>
      <c r="G287" s="184">
        <v>0</v>
      </c>
      <c r="H287" s="184">
        <v>0</v>
      </c>
      <c r="I287" s="184">
        <v>0</v>
      </c>
      <c r="J287" s="184">
        <v>0</v>
      </c>
      <c r="K287" s="184">
        <v>0</v>
      </c>
      <c r="L287" s="184">
        <v>0</v>
      </c>
      <c r="M287" s="654" t="s">
        <v>24</v>
      </c>
      <c r="N287" s="669" t="s">
        <v>104</v>
      </c>
      <c r="O287" s="642">
        <v>0</v>
      </c>
      <c r="P287" s="184">
        <v>0</v>
      </c>
      <c r="Q287" s="184">
        <v>0</v>
      </c>
      <c r="R287" s="184">
        <v>0</v>
      </c>
      <c r="S287" s="184">
        <v>0</v>
      </c>
      <c r="T287" s="184">
        <v>4</v>
      </c>
      <c r="U287" s="184">
        <v>4</v>
      </c>
      <c r="V287" s="184">
        <v>3</v>
      </c>
      <c r="W287" s="184">
        <v>0</v>
      </c>
      <c r="X287" s="184">
        <v>0</v>
      </c>
      <c r="Y287" s="184">
        <v>0</v>
      </c>
      <c r="Z287" s="184">
        <v>0</v>
      </c>
      <c r="AA287" s="184">
        <v>0</v>
      </c>
      <c r="AB287" s="184">
        <v>0</v>
      </c>
      <c r="AC287" s="185">
        <v>37.6</v>
      </c>
      <c r="AD287" s="185">
        <v>43.3</v>
      </c>
      <c r="AE287" s="184">
        <v>0</v>
      </c>
      <c r="AF287" s="185">
        <v>0</v>
      </c>
      <c r="AG287" s="184">
        <v>0</v>
      </c>
      <c r="AH287" s="185">
        <v>0</v>
      </c>
      <c r="AI287" s="184">
        <v>0</v>
      </c>
      <c r="AJ287" s="643">
        <v>0</v>
      </c>
    </row>
    <row r="288" spans="1:36" x14ac:dyDescent="0.2">
      <c r="A288" s="190" t="s">
        <v>105</v>
      </c>
      <c r="B288" s="642">
        <v>9</v>
      </c>
      <c r="C288" s="184">
        <v>0</v>
      </c>
      <c r="D288" s="184">
        <v>8</v>
      </c>
      <c r="E288" s="184">
        <v>1</v>
      </c>
      <c r="F288" s="184">
        <v>0</v>
      </c>
      <c r="G288" s="184">
        <v>0</v>
      </c>
      <c r="H288" s="184">
        <v>0</v>
      </c>
      <c r="I288" s="184">
        <v>0</v>
      </c>
      <c r="J288" s="184">
        <v>0</v>
      </c>
      <c r="K288" s="184">
        <v>0</v>
      </c>
      <c r="L288" s="184">
        <v>0</v>
      </c>
      <c r="M288" s="654" t="s">
        <v>24</v>
      </c>
      <c r="N288" s="669" t="s">
        <v>105</v>
      </c>
      <c r="O288" s="642">
        <v>0</v>
      </c>
      <c r="P288" s="184">
        <v>0</v>
      </c>
      <c r="Q288" s="184">
        <v>0</v>
      </c>
      <c r="R288" s="184">
        <v>0</v>
      </c>
      <c r="S288" s="184">
        <v>0</v>
      </c>
      <c r="T288" s="184">
        <v>1</v>
      </c>
      <c r="U288" s="184">
        <v>6</v>
      </c>
      <c r="V288" s="184">
        <v>0</v>
      </c>
      <c r="W288" s="184">
        <v>1</v>
      </c>
      <c r="X288" s="184">
        <v>1</v>
      </c>
      <c r="Y288" s="184">
        <v>0</v>
      </c>
      <c r="Z288" s="184">
        <v>0</v>
      </c>
      <c r="AA288" s="184">
        <v>0</v>
      </c>
      <c r="AB288" s="184">
        <v>0</v>
      </c>
      <c r="AC288" s="185">
        <v>39.200000000000003</v>
      </c>
      <c r="AD288" s="185" t="s">
        <v>24</v>
      </c>
      <c r="AE288" s="184">
        <v>0</v>
      </c>
      <c r="AF288" s="185">
        <v>0</v>
      </c>
      <c r="AG288" s="184">
        <v>0</v>
      </c>
      <c r="AH288" s="185">
        <v>0</v>
      </c>
      <c r="AI288" s="184">
        <v>0</v>
      </c>
      <c r="AJ288" s="643">
        <v>0</v>
      </c>
    </row>
    <row r="289" spans="1:36" x14ac:dyDescent="0.2">
      <c r="A289" s="190" t="s">
        <v>64</v>
      </c>
      <c r="B289" s="642">
        <v>10</v>
      </c>
      <c r="C289" s="184">
        <v>0</v>
      </c>
      <c r="D289" s="184">
        <v>10</v>
      </c>
      <c r="E289" s="184">
        <v>0</v>
      </c>
      <c r="F289" s="184">
        <v>0</v>
      </c>
      <c r="G289" s="184">
        <v>0</v>
      </c>
      <c r="H289" s="184">
        <v>0</v>
      </c>
      <c r="I289" s="184">
        <v>0</v>
      </c>
      <c r="J289" s="184">
        <v>0</v>
      </c>
      <c r="K289" s="184">
        <v>0</v>
      </c>
      <c r="L289" s="184">
        <v>0</v>
      </c>
      <c r="M289" s="654" t="s">
        <v>24</v>
      </c>
      <c r="N289" s="669" t="s">
        <v>64</v>
      </c>
      <c r="O289" s="642">
        <v>0</v>
      </c>
      <c r="P289" s="184">
        <v>0</v>
      </c>
      <c r="Q289" s="184">
        <v>0</v>
      </c>
      <c r="R289" s="184">
        <v>0</v>
      </c>
      <c r="S289" s="184">
        <v>1</v>
      </c>
      <c r="T289" s="184">
        <v>2</v>
      </c>
      <c r="U289" s="184">
        <v>4</v>
      </c>
      <c r="V289" s="184">
        <v>2</v>
      </c>
      <c r="W289" s="184">
        <v>0</v>
      </c>
      <c r="X289" s="184">
        <v>1</v>
      </c>
      <c r="Y289" s="184">
        <v>0</v>
      </c>
      <c r="Z289" s="184">
        <v>0</v>
      </c>
      <c r="AA289" s="184">
        <v>0</v>
      </c>
      <c r="AB289" s="184">
        <v>0</v>
      </c>
      <c r="AC289" s="185">
        <v>37.700000000000003</v>
      </c>
      <c r="AD289" s="185" t="s">
        <v>24</v>
      </c>
      <c r="AE289" s="184">
        <v>0</v>
      </c>
      <c r="AF289" s="185">
        <v>0</v>
      </c>
      <c r="AG289" s="184">
        <v>0</v>
      </c>
      <c r="AH289" s="185">
        <v>0</v>
      </c>
      <c r="AI289" s="184">
        <v>0</v>
      </c>
      <c r="AJ289" s="643">
        <v>0</v>
      </c>
    </row>
    <row r="290" spans="1:36" x14ac:dyDescent="0.2">
      <c r="A290" s="190" t="s">
        <v>106</v>
      </c>
      <c r="B290" s="642">
        <v>11</v>
      </c>
      <c r="C290" s="184">
        <v>0</v>
      </c>
      <c r="D290" s="184">
        <v>8</v>
      </c>
      <c r="E290" s="184">
        <v>1</v>
      </c>
      <c r="F290" s="184">
        <v>1</v>
      </c>
      <c r="G290" s="184">
        <v>0</v>
      </c>
      <c r="H290" s="184">
        <v>0</v>
      </c>
      <c r="I290" s="184">
        <v>1</v>
      </c>
      <c r="J290" s="184">
        <v>0</v>
      </c>
      <c r="K290" s="184">
        <v>0</v>
      </c>
      <c r="L290" s="184">
        <v>0</v>
      </c>
      <c r="M290" s="654" t="s">
        <v>24</v>
      </c>
      <c r="N290" s="669" t="s">
        <v>106</v>
      </c>
      <c r="O290" s="642">
        <v>0</v>
      </c>
      <c r="P290" s="184">
        <v>0</v>
      </c>
      <c r="Q290" s="184">
        <v>1</v>
      </c>
      <c r="R290" s="184">
        <v>1</v>
      </c>
      <c r="S290" s="184">
        <v>1</v>
      </c>
      <c r="T290" s="184">
        <v>2</v>
      </c>
      <c r="U290" s="184">
        <v>1</v>
      </c>
      <c r="V290" s="184">
        <v>5</v>
      </c>
      <c r="W290" s="184">
        <v>0</v>
      </c>
      <c r="X290" s="184">
        <v>0</v>
      </c>
      <c r="Y290" s="184">
        <v>0</v>
      </c>
      <c r="Z290" s="184">
        <v>0</v>
      </c>
      <c r="AA290" s="184">
        <v>0</v>
      </c>
      <c r="AB290" s="184">
        <v>0</v>
      </c>
      <c r="AC290" s="185">
        <v>34.4</v>
      </c>
      <c r="AD290" s="185">
        <v>43</v>
      </c>
      <c r="AE290" s="184">
        <v>0</v>
      </c>
      <c r="AF290" s="185">
        <v>0</v>
      </c>
      <c r="AG290" s="184">
        <v>0</v>
      </c>
      <c r="AH290" s="185">
        <v>0</v>
      </c>
      <c r="AI290" s="184">
        <v>0</v>
      </c>
      <c r="AJ290" s="643">
        <v>0</v>
      </c>
    </row>
    <row r="291" spans="1:36" x14ac:dyDescent="0.2">
      <c r="A291" s="190" t="s">
        <v>107</v>
      </c>
      <c r="B291" s="642">
        <v>23</v>
      </c>
      <c r="C291" s="184">
        <v>0</v>
      </c>
      <c r="D291" s="184">
        <v>20</v>
      </c>
      <c r="E291" s="184">
        <v>2</v>
      </c>
      <c r="F291" s="184">
        <v>1</v>
      </c>
      <c r="G291" s="184">
        <v>0</v>
      </c>
      <c r="H291" s="184">
        <v>0</v>
      </c>
      <c r="I291" s="184">
        <v>0</v>
      </c>
      <c r="J291" s="184">
        <v>0</v>
      </c>
      <c r="K291" s="184">
        <v>0</v>
      </c>
      <c r="L291" s="184">
        <v>0</v>
      </c>
      <c r="M291" s="654" t="s">
        <v>24</v>
      </c>
      <c r="N291" s="669" t="s">
        <v>107</v>
      </c>
      <c r="O291" s="642">
        <v>0</v>
      </c>
      <c r="P291" s="184">
        <v>0</v>
      </c>
      <c r="Q291" s="184">
        <v>0</v>
      </c>
      <c r="R291" s="184">
        <v>1</v>
      </c>
      <c r="S291" s="184">
        <v>3</v>
      </c>
      <c r="T291" s="184">
        <v>7</v>
      </c>
      <c r="U291" s="184">
        <v>7</v>
      </c>
      <c r="V291" s="184">
        <v>4</v>
      </c>
      <c r="W291" s="184">
        <v>1</v>
      </c>
      <c r="X291" s="184">
        <v>0</v>
      </c>
      <c r="Y291" s="184">
        <v>0</v>
      </c>
      <c r="Z291" s="184">
        <v>0</v>
      </c>
      <c r="AA291" s="184">
        <v>0</v>
      </c>
      <c r="AB291" s="184">
        <v>0</v>
      </c>
      <c r="AC291" s="185">
        <v>34.4</v>
      </c>
      <c r="AD291" s="185">
        <v>40.5</v>
      </c>
      <c r="AE291" s="184">
        <v>0</v>
      </c>
      <c r="AF291" s="185">
        <v>0</v>
      </c>
      <c r="AG291" s="184">
        <v>0</v>
      </c>
      <c r="AH291" s="185">
        <v>0</v>
      </c>
      <c r="AI291" s="184">
        <v>0</v>
      </c>
      <c r="AJ291" s="643">
        <v>0</v>
      </c>
    </row>
    <row r="292" spans="1:36" x14ac:dyDescent="0.2">
      <c r="A292" s="190" t="s">
        <v>108</v>
      </c>
      <c r="B292" s="642">
        <v>17</v>
      </c>
      <c r="C292" s="184">
        <v>0</v>
      </c>
      <c r="D292" s="184">
        <v>17</v>
      </c>
      <c r="E292" s="184">
        <v>0</v>
      </c>
      <c r="F292" s="184">
        <v>0</v>
      </c>
      <c r="G292" s="184">
        <v>0</v>
      </c>
      <c r="H292" s="184">
        <v>0</v>
      </c>
      <c r="I292" s="184">
        <v>0</v>
      </c>
      <c r="J292" s="184">
        <v>0</v>
      </c>
      <c r="K292" s="184">
        <v>0</v>
      </c>
      <c r="L292" s="184">
        <v>0</v>
      </c>
      <c r="M292" s="654" t="s">
        <v>24</v>
      </c>
      <c r="N292" s="669" t="s">
        <v>108</v>
      </c>
      <c r="O292" s="642">
        <v>0</v>
      </c>
      <c r="P292" s="184">
        <v>0</v>
      </c>
      <c r="Q292" s="184">
        <v>1</v>
      </c>
      <c r="R292" s="184">
        <v>1</v>
      </c>
      <c r="S292" s="184">
        <v>4</v>
      </c>
      <c r="T292" s="184">
        <v>4</v>
      </c>
      <c r="U292" s="184">
        <v>4</v>
      </c>
      <c r="V292" s="184">
        <v>2</v>
      </c>
      <c r="W292" s="184">
        <v>0</v>
      </c>
      <c r="X292" s="184">
        <v>1</v>
      </c>
      <c r="Y292" s="184">
        <v>0</v>
      </c>
      <c r="Z292" s="184">
        <v>0</v>
      </c>
      <c r="AA292" s="184">
        <v>0</v>
      </c>
      <c r="AB292" s="184">
        <v>0</v>
      </c>
      <c r="AC292" s="185">
        <v>33.700000000000003</v>
      </c>
      <c r="AD292" s="185">
        <v>42</v>
      </c>
      <c r="AE292" s="184">
        <v>0</v>
      </c>
      <c r="AF292" s="185">
        <v>0</v>
      </c>
      <c r="AG292" s="184">
        <v>0</v>
      </c>
      <c r="AH292" s="185">
        <v>0</v>
      </c>
      <c r="AI292" s="184">
        <v>0</v>
      </c>
      <c r="AJ292" s="643">
        <v>0</v>
      </c>
    </row>
    <row r="293" spans="1:36" x14ac:dyDescent="0.2">
      <c r="A293" s="190" t="s">
        <v>65</v>
      </c>
      <c r="B293" s="646">
        <v>20</v>
      </c>
      <c r="C293" s="186">
        <v>1</v>
      </c>
      <c r="D293" s="186">
        <v>18</v>
      </c>
      <c r="E293" s="186">
        <v>0</v>
      </c>
      <c r="F293" s="186">
        <v>1</v>
      </c>
      <c r="G293" s="186">
        <v>0</v>
      </c>
      <c r="H293" s="186">
        <v>0</v>
      </c>
      <c r="I293" s="186">
        <v>0</v>
      </c>
      <c r="J293" s="186">
        <v>0</v>
      </c>
      <c r="K293" s="186">
        <v>0</v>
      </c>
      <c r="L293" s="186">
        <v>0</v>
      </c>
      <c r="M293" s="656" t="s">
        <v>24</v>
      </c>
      <c r="N293" s="669" t="s">
        <v>65</v>
      </c>
      <c r="O293" s="646">
        <v>0</v>
      </c>
      <c r="P293" s="186">
        <v>0</v>
      </c>
      <c r="Q293" s="186">
        <v>0</v>
      </c>
      <c r="R293" s="186">
        <v>1</v>
      </c>
      <c r="S293" s="186">
        <v>0</v>
      </c>
      <c r="T293" s="186">
        <v>1</v>
      </c>
      <c r="U293" s="186">
        <v>6</v>
      </c>
      <c r="V293" s="186">
        <v>7</v>
      </c>
      <c r="W293" s="186">
        <v>2</v>
      </c>
      <c r="X293" s="186">
        <v>3</v>
      </c>
      <c r="Y293" s="186">
        <v>0</v>
      </c>
      <c r="Z293" s="186">
        <v>0</v>
      </c>
      <c r="AA293" s="186">
        <v>0</v>
      </c>
      <c r="AB293" s="186">
        <v>0</v>
      </c>
      <c r="AC293" s="187">
        <v>41.8</v>
      </c>
      <c r="AD293" s="187">
        <v>49.8</v>
      </c>
      <c r="AE293" s="186">
        <v>0</v>
      </c>
      <c r="AF293" s="187">
        <v>0</v>
      </c>
      <c r="AG293" s="186">
        <v>0</v>
      </c>
      <c r="AH293" s="187">
        <v>0</v>
      </c>
      <c r="AI293" s="186">
        <v>0</v>
      </c>
      <c r="AJ293" s="647">
        <v>0</v>
      </c>
    </row>
    <row r="294" spans="1:36" x14ac:dyDescent="0.2">
      <c r="A294" s="190" t="s">
        <v>109</v>
      </c>
      <c r="B294" s="642">
        <v>15</v>
      </c>
      <c r="C294" s="184">
        <v>0</v>
      </c>
      <c r="D294" s="184">
        <v>15</v>
      </c>
      <c r="E294" s="184">
        <v>0</v>
      </c>
      <c r="F294" s="184">
        <v>0</v>
      </c>
      <c r="G294" s="184">
        <v>0</v>
      </c>
      <c r="H294" s="184">
        <v>0</v>
      </c>
      <c r="I294" s="184">
        <v>0</v>
      </c>
      <c r="J294" s="184">
        <v>0</v>
      </c>
      <c r="K294" s="184">
        <v>0</v>
      </c>
      <c r="L294" s="184">
        <v>0</v>
      </c>
      <c r="M294" s="654" t="s">
        <v>24</v>
      </c>
      <c r="N294" s="669" t="s">
        <v>109</v>
      </c>
      <c r="O294" s="642">
        <v>0</v>
      </c>
      <c r="P294" s="184">
        <v>0</v>
      </c>
      <c r="Q294" s="184">
        <v>0</v>
      </c>
      <c r="R294" s="184">
        <v>0</v>
      </c>
      <c r="S294" s="184">
        <v>0</v>
      </c>
      <c r="T294" s="184">
        <v>1</v>
      </c>
      <c r="U294" s="184">
        <v>6</v>
      </c>
      <c r="V294" s="184">
        <v>7</v>
      </c>
      <c r="W294" s="184">
        <v>0</v>
      </c>
      <c r="X294" s="184">
        <v>1</v>
      </c>
      <c r="Y294" s="184">
        <v>0</v>
      </c>
      <c r="Z294" s="184">
        <v>0</v>
      </c>
      <c r="AA294" s="184">
        <v>0</v>
      </c>
      <c r="AB294" s="184">
        <v>0</v>
      </c>
      <c r="AC294" s="185">
        <v>40.9</v>
      </c>
      <c r="AD294" s="185">
        <v>44.8</v>
      </c>
      <c r="AE294" s="184">
        <v>0</v>
      </c>
      <c r="AF294" s="185">
        <v>0</v>
      </c>
      <c r="AG294" s="184">
        <v>0</v>
      </c>
      <c r="AH294" s="185">
        <v>0</v>
      </c>
      <c r="AI294" s="184">
        <v>0</v>
      </c>
      <c r="AJ294" s="643">
        <v>0</v>
      </c>
    </row>
    <row r="295" spans="1:36" x14ac:dyDescent="0.2">
      <c r="A295" s="190" t="s">
        <v>110</v>
      </c>
      <c r="B295" s="642">
        <v>16</v>
      </c>
      <c r="C295" s="184">
        <v>0</v>
      </c>
      <c r="D295" s="184">
        <v>15</v>
      </c>
      <c r="E295" s="184">
        <v>0</v>
      </c>
      <c r="F295" s="184">
        <v>1</v>
      </c>
      <c r="G295" s="184">
        <v>0</v>
      </c>
      <c r="H295" s="184">
        <v>0</v>
      </c>
      <c r="I295" s="184">
        <v>0</v>
      </c>
      <c r="J295" s="184">
        <v>0</v>
      </c>
      <c r="K295" s="184">
        <v>0</v>
      </c>
      <c r="L295" s="184">
        <v>0</v>
      </c>
      <c r="M295" s="654" t="s">
        <v>24</v>
      </c>
      <c r="N295" s="669" t="s">
        <v>110</v>
      </c>
      <c r="O295" s="642">
        <v>0</v>
      </c>
      <c r="P295" s="184">
        <v>0</v>
      </c>
      <c r="Q295" s="184">
        <v>0</v>
      </c>
      <c r="R295" s="184">
        <v>0</v>
      </c>
      <c r="S295" s="184">
        <v>0</v>
      </c>
      <c r="T295" s="184">
        <v>4</v>
      </c>
      <c r="U295" s="184">
        <v>4</v>
      </c>
      <c r="V295" s="184">
        <v>1</v>
      </c>
      <c r="W295" s="184">
        <v>4</v>
      </c>
      <c r="X295" s="184">
        <v>3</v>
      </c>
      <c r="Y295" s="184">
        <v>0</v>
      </c>
      <c r="Z295" s="184">
        <v>0</v>
      </c>
      <c r="AA295" s="184">
        <v>0</v>
      </c>
      <c r="AB295" s="184">
        <v>0</v>
      </c>
      <c r="AC295" s="185">
        <v>42.4</v>
      </c>
      <c r="AD295" s="185">
        <v>54.3</v>
      </c>
      <c r="AE295" s="184">
        <v>0</v>
      </c>
      <c r="AF295" s="185">
        <v>0</v>
      </c>
      <c r="AG295" s="184">
        <v>0</v>
      </c>
      <c r="AH295" s="185">
        <v>0</v>
      </c>
      <c r="AI295" s="184">
        <v>0</v>
      </c>
      <c r="AJ295" s="643">
        <v>0</v>
      </c>
    </row>
    <row r="296" spans="1:36" x14ac:dyDescent="0.2">
      <c r="A296" s="190" t="s">
        <v>111</v>
      </c>
      <c r="B296" s="642">
        <v>24</v>
      </c>
      <c r="C296" s="184">
        <v>1</v>
      </c>
      <c r="D296" s="184">
        <v>22</v>
      </c>
      <c r="E296" s="184">
        <v>0</v>
      </c>
      <c r="F296" s="184">
        <v>1</v>
      </c>
      <c r="G296" s="184">
        <v>0</v>
      </c>
      <c r="H296" s="184">
        <v>0</v>
      </c>
      <c r="I296" s="184">
        <v>0</v>
      </c>
      <c r="J296" s="184">
        <v>0</v>
      </c>
      <c r="K296" s="184">
        <v>0</v>
      </c>
      <c r="L296" s="184">
        <v>0</v>
      </c>
      <c r="M296" s="654" t="s">
        <v>24</v>
      </c>
      <c r="N296" s="669" t="s">
        <v>111</v>
      </c>
      <c r="O296" s="642">
        <v>0</v>
      </c>
      <c r="P296" s="184">
        <v>0</v>
      </c>
      <c r="Q296" s="184">
        <v>0</v>
      </c>
      <c r="R296" s="184">
        <v>1</v>
      </c>
      <c r="S296" s="184">
        <v>0</v>
      </c>
      <c r="T296" s="184">
        <v>1</v>
      </c>
      <c r="U296" s="184">
        <v>2</v>
      </c>
      <c r="V296" s="184">
        <v>10</v>
      </c>
      <c r="W296" s="184">
        <v>7</v>
      </c>
      <c r="X296" s="184">
        <v>3</v>
      </c>
      <c r="Y296" s="184">
        <v>0</v>
      </c>
      <c r="Z296" s="184">
        <v>0</v>
      </c>
      <c r="AA296" s="184">
        <v>0</v>
      </c>
      <c r="AB296" s="184">
        <v>0</v>
      </c>
      <c r="AC296" s="185">
        <v>43.7</v>
      </c>
      <c r="AD296" s="185">
        <v>49.9</v>
      </c>
      <c r="AE296" s="184">
        <v>0</v>
      </c>
      <c r="AF296" s="185">
        <v>0</v>
      </c>
      <c r="AG296" s="184">
        <v>0</v>
      </c>
      <c r="AH296" s="185">
        <v>0</v>
      </c>
      <c r="AI296" s="184">
        <v>0</v>
      </c>
      <c r="AJ296" s="643">
        <v>0</v>
      </c>
    </row>
    <row r="297" spans="1:36" x14ac:dyDescent="0.2">
      <c r="A297" s="190" t="s">
        <v>67</v>
      </c>
      <c r="B297" s="642">
        <v>17</v>
      </c>
      <c r="C297" s="184">
        <v>0</v>
      </c>
      <c r="D297" s="184">
        <v>14</v>
      </c>
      <c r="E297" s="184">
        <v>1</v>
      </c>
      <c r="F297" s="184">
        <v>2</v>
      </c>
      <c r="G297" s="184">
        <v>0</v>
      </c>
      <c r="H297" s="184">
        <v>0</v>
      </c>
      <c r="I297" s="184">
        <v>0</v>
      </c>
      <c r="J297" s="184">
        <v>0</v>
      </c>
      <c r="K297" s="184">
        <v>0</v>
      </c>
      <c r="L297" s="184">
        <v>0</v>
      </c>
      <c r="M297" s="654" t="s">
        <v>24</v>
      </c>
      <c r="N297" s="669" t="s">
        <v>67</v>
      </c>
      <c r="O297" s="642">
        <v>0</v>
      </c>
      <c r="P297" s="184">
        <v>0</v>
      </c>
      <c r="Q297" s="184">
        <v>0</v>
      </c>
      <c r="R297" s="184">
        <v>1</v>
      </c>
      <c r="S297" s="184">
        <v>0</v>
      </c>
      <c r="T297" s="184">
        <v>0</v>
      </c>
      <c r="U297" s="184">
        <v>6</v>
      </c>
      <c r="V297" s="184">
        <v>7</v>
      </c>
      <c r="W297" s="184">
        <v>1</v>
      </c>
      <c r="X297" s="184">
        <v>2</v>
      </c>
      <c r="Y297" s="184">
        <v>0</v>
      </c>
      <c r="Z297" s="184">
        <v>0</v>
      </c>
      <c r="AA297" s="184">
        <v>0</v>
      </c>
      <c r="AB297" s="184">
        <v>0</v>
      </c>
      <c r="AC297" s="185">
        <v>41.2</v>
      </c>
      <c r="AD297" s="185">
        <v>48.5</v>
      </c>
      <c r="AE297" s="184">
        <v>0</v>
      </c>
      <c r="AF297" s="185">
        <v>0</v>
      </c>
      <c r="AG297" s="184">
        <v>0</v>
      </c>
      <c r="AH297" s="185">
        <v>0</v>
      </c>
      <c r="AI297" s="184">
        <v>0</v>
      </c>
      <c r="AJ297" s="643">
        <v>0</v>
      </c>
    </row>
    <row r="298" spans="1:36" x14ac:dyDescent="0.2">
      <c r="A298" s="190" t="s">
        <v>112</v>
      </c>
      <c r="B298" s="642">
        <v>26</v>
      </c>
      <c r="C298" s="184">
        <v>1</v>
      </c>
      <c r="D298" s="184">
        <v>22</v>
      </c>
      <c r="E298" s="184">
        <v>0</v>
      </c>
      <c r="F298" s="184">
        <v>2</v>
      </c>
      <c r="G298" s="184">
        <v>0</v>
      </c>
      <c r="H298" s="184">
        <v>1</v>
      </c>
      <c r="I298" s="184">
        <v>0</v>
      </c>
      <c r="J298" s="184">
        <v>0</v>
      </c>
      <c r="K298" s="184">
        <v>0</v>
      </c>
      <c r="L298" s="184">
        <v>0</v>
      </c>
      <c r="M298" s="654" t="s">
        <v>24</v>
      </c>
      <c r="N298" s="669" t="s">
        <v>112</v>
      </c>
      <c r="O298" s="642">
        <v>0</v>
      </c>
      <c r="P298" s="184">
        <v>0</v>
      </c>
      <c r="Q298" s="184">
        <v>1</v>
      </c>
      <c r="R298" s="184">
        <v>0</v>
      </c>
      <c r="S298" s="184">
        <v>0</v>
      </c>
      <c r="T298" s="184">
        <v>0</v>
      </c>
      <c r="U298" s="184">
        <v>8</v>
      </c>
      <c r="V298" s="184">
        <v>8</v>
      </c>
      <c r="W298" s="184">
        <v>8</v>
      </c>
      <c r="X298" s="184">
        <v>1</v>
      </c>
      <c r="Y298" s="184">
        <v>0</v>
      </c>
      <c r="Z298" s="184">
        <v>0</v>
      </c>
      <c r="AA298" s="184">
        <v>0</v>
      </c>
      <c r="AB298" s="184">
        <v>0</v>
      </c>
      <c r="AC298" s="185">
        <v>41.5</v>
      </c>
      <c r="AD298" s="185">
        <v>48</v>
      </c>
      <c r="AE298" s="184">
        <v>0</v>
      </c>
      <c r="AF298" s="185">
        <v>0</v>
      </c>
      <c r="AG298" s="184">
        <v>0</v>
      </c>
      <c r="AH298" s="185">
        <v>0</v>
      </c>
      <c r="AI298" s="184">
        <v>0</v>
      </c>
      <c r="AJ298" s="643">
        <v>0</v>
      </c>
    </row>
    <row r="299" spans="1:36" x14ac:dyDescent="0.2">
      <c r="A299" s="190" t="s">
        <v>113</v>
      </c>
      <c r="B299" s="642">
        <v>23</v>
      </c>
      <c r="C299" s="184">
        <v>0</v>
      </c>
      <c r="D299" s="184">
        <v>21</v>
      </c>
      <c r="E299" s="184">
        <v>0</v>
      </c>
      <c r="F299" s="184">
        <v>2</v>
      </c>
      <c r="G299" s="184">
        <v>0</v>
      </c>
      <c r="H299" s="184">
        <v>0</v>
      </c>
      <c r="I299" s="184">
        <v>0</v>
      </c>
      <c r="J299" s="184">
        <v>0</v>
      </c>
      <c r="K299" s="184">
        <v>0</v>
      </c>
      <c r="L299" s="184">
        <v>0</v>
      </c>
      <c r="M299" s="654" t="s">
        <v>24</v>
      </c>
      <c r="N299" s="669" t="s">
        <v>113</v>
      </c>
      <c r="O299" s="642">
        <v>0</v>
      </c>
      <c r="P299" s="184">
        <v>0</v>
      </c>
      <c r="Q299" s="184">
        <v>0</v>
      </c>
      <c r="R299" s="184">
        <v>0</v>
      </c>
      <c r="S299" s="184">
        <v>0</v>
      </c>
      <c r="T299" s="184">
        <v>3</v>
      </c>
      <c r="U299" s="184">
        <v>3</v>
      </c>
      <c r="V299" s="184">
        <v>7</v>
      </c>
      <c r="W299" s="184">
        <v>7</v>
      </c>
      <c r="X299" s="184">
        <v>3</v>
      </c>
      <c r="Y299" s="184">
        <v>0</v>
      </c>
      <c r="Z299" s="184">
        <v>0</v>
      </c>
      <c r="AA299" s="184">
        <v>0</v>
      </c>
      <c r="AB299" s="184">
        <v>0</v>
      </c>
      <c r="AC299" s="185">
        <v>43.5</v>
      </c>
      <c r="AD299" s="185">
        <v>49.4</v>
      </c>
      <c r="AE299" s="184">
        <v>0</v>
      </c>
      <c r="AF299" s="185">
        <v>0</v>
      </c>
      <c r="AG299" s="184">
        <v>0</v>
      </c>
      <c r="AH299" s="185">
        <v>0</v>
      </c>
      <c r="AI299" s="184">
        <v>0</v>
      </c>
      <c r="AJ299" s="643">
        <v>0</v>
      </c>
    </row>
    <row r="300" spans="1:36" x14ac:dyDescent="0.2">
      <c r="A300" s="190" t="s">
        <v>114</v>
      </c>
      <c r="B300" s="642">
        <v>19</v>
      </c>
      <c r="C300" s="184">
        <v>0</v>
      </c>
      <c r="D300" s="184">
        <v>17</v>
      </c>
      <c r="E300" s="184">
        <v>0</v>
      </c>
      <c r="F300" s="184">
        <v>2</v>
      </c>
      <c r="G300" s="184">
        <v>0</v>
      </c>
      <c r="H300" s="184">
        <v>0</v>
      </c>
      <c r="I300" s="184">
        <v>0</v>
      </c>
      <c r="J300" s="184">
        <v>0</v>
      </c>
      <c r="K300" s="184">
        <v>0</v>
      </c>
      <c r="L300" s="184">
        <v>0</v>
      </c>
      <c r="M300" s="654" t="s">
        <v>24</v>
      </c>
      <c r="N300" s="669" t="s">
        <v>114</v>
      </c>
      <c r="O300" s="642">
        <v>0</v>
      </c>
      <c r="P300" s="184">
        <v>0</v>
      </c>
      <c r="Q300" s="184">
        <v>0</v>
      </c>
      <c r="R300" s="184">
        <v>0</v>
      </c>
      <c r="S300" s="184">
        <v>2</v>
      </c>
      <c r="T300" s="184">
        <v>0</v>
      </c>
      <c r="U300" s="184">
        <v>0</v>
      </c>
      <c r="V300" s="184">
        <v>5</v>
      </c>
      <c r="W300" s="184">
        <v>6</v>
      </c>
      <c r="X300" s="184">
        <v>4</v>
      </c>
      <c r="Y300" s="184">
        <v>2</v>
      </c>
      <c r="Z300" s="184">
        <v>0</v>
      </c>
      <c r="AA300" s="184">
        <v>0</v>
      </c>
      <c r="AB300" s="184">
        <v>0</v>
      </c>
      <c r="AC300" s="185">
        <v>47.6</v>
      </c>
      <c r="AD300" s="185">
        <v>59.3</v>
      </c>
      <c r="AE300" s="184">
        <v>2</v>
      </c>
      <c r="AF300" s="185">
        <v>10.526315789473683</v>
      </c>
      <c r="AG300" s="184">
        <v>0</v>
      </c>
      <c r="AH300" s="185">
        <v>0</v>
      </c>
      <c r="AI300" s="184">
        <v>0</v>
      </c>
      <c r="AJ300" s="643">
        <v>0</v>
      </c>
    </row>
    <row r="301" spans="1:36" x14ac:dyDescent="0.2">
      <c r="A301" s="190" t="s">
        <v>69</v>
      </c>
      <c r="B301" s="646">
        <v>14</v>
      </c>
      <c r="C301" s="186">
        <v>2</v>
      </c>
      <c r="D301" s="186">
        <v>10</v>
      </c>
      <c r="E301" s="186">
        <v>0</v>
      </c>
      <c r="F301" s="186">
        <v>2</v>
      </c>
      <c r="G301" s="186">
        <v>0</v>
      </c>
      <c r="H301" s="186">
        <v>0</v>
      </c>
      <c r="I301" s="186">
        <v>0</v>
      </c>
      <c r="J301" s="186">
        <v>0</v>
      </c>
      <c r="K301" s="186">
        <v>0</v>
      </c>
      <c r="L301" s="186">
        <v>0</v>
      </c>
      <c r="M301" s="656" t="s">
        <v>24</v>
      </c>
      <c r="N301" s="669" t="s">
        <v>69</v>
      </c>
      <c r="O301" s="646">
        <v>0</v>
      </c>
      <c r="P301" s="186">
        <v>0</v>
      </c>
      <c r="Q301" s="186">
        <v>0</v>
      </c>
      <c r="R301" s="186">
        <v>0</v>
      </c>
      <c r="S301" s="186">
        <v>0</v>
      </c>
      <c r="T301" s="186">
        <v>1</v>
      </c>
      <c r="U301" s="186">
        <v>3</v>
      </c>
      <c r="V301" s="186">
        <v>4</v>
      </c>
      <c r="W301" s="186">
        <v>4</v>
      </c>
      <c r="X301" s="186">
        <v>1</v>
      </c>
      <c r="Y301" s="186">
        <v>0</v>
      </c>
      <c r="Z301" s="186">
        <v>0</v>
      </c>
      <c r="AA301" s="186">
        <v>1</v>
      </c>
      <c r="AB301" s="186">
        <v>0</v>
      </c>
      <c r="AC301" s="187">
        <v>45.4</v>
      </c>
      <c r="AD301" s="187">
        <v>50.5</v>
      </c>
      <c r="AE301" s="186">
        <v>1</v>
      </c>
      <c r="AF301" s="187">
        <v>7.1428571428571423</v>
      </c>
      <c r="AG301" s="186">
        <v>1</v>
      </c>
      <c r="AH301" s="187">
        <v>7.1428571428571423</v>
      </c>
      <c r="AI301" s="186">
        <v>1</v>
      </c>
      <c r="AJ301" s="647">
        <v>7.1428571428571423</v>
      </c>
    </row>
    <row r="302" spans="1:36" x14ac:dyDescent="0.2">
      <c r="A302" s="190" t="s">
        <v>115</v>
      </c>
      <c r="B302" s="642">
        <v>13</v>
      </c>
      <c r="C302" s="184">
        <v>0</v>
      </c>
      <c r="D302" s="184">
        <v>10</v>
      </c>
      <c r="E302" s="184">
        <v>0</v>
      </c>
      <c r="F302" s="184">
        <v>3</v>
      </c>
      <c r="G302" s="184">
        <v>0</v>
      </c>
      <c r="H302" s="184">
        <v>0</v>
      </c>
      <c r="I302" s="184">
        <v>0</v>
      </c>
      <c r="J302" s="184">
        <v>0</v>
      </c>
      <c r="K302" s="184">
        <v>0</v>
      </c>
      <c r="L302" s="184">
        <v>0</v>
      </c>
      <c r="M302" s="654" t="s">
        <v>24</v>
      </c>
      <c r="N302" s="669" t="s">
        <v>115</v>
      </c>
      <c r="O302" s="642">
        <v>0</v>
      </c>
      <c r="P302" s="184">
        <v>0</v>
      </c>
      <c r="Q302" s="184">
        <v>0</v>
      </c>
      <c r="R302" s="184">
        <v>1</v>
      </c>
      <c r="S302" s="184">
        <v>0</v>
      </c>
      <c r="T302" s="184">
        <v>0</v>
      </c>
      <c r="U302" s="184">
        <v>2</v>
      </c>
      <c r="V302" s="184">
        <v>5</v>
      </c>
      <c r="W302" s="184">
        <v>4</v>
      </c>
      <c r="X302" s="184">
        <v>1</v>
      </c>
      <c r="Y302" s="184">
        <v>0</v>
      </c>
      <c r="Z302" s="184">
        <v>0</v>
      </c>
      <c r="AA302" s="184">
        <v>0</v>
      </c>
      <c r="AB302" s="184">
        <v>0</v>
      </c>
      <c r="AC302" s="185">
        <v>42.2</v>
      </c>
      <c r="AD302" s="185">
        <v>46.2</v>
      </c>
      <c r="AE302" s="184">
        <v>0</v>
      </c>
      <c r="AF302" s="185">
        <v>0</v>
      </c>
      <c r="AG302" s="184">
        <v>0</v>
      </c>
      <c r="AH302" s="185">
        <v>0</v>
      </c>
      <c r="AI302" s="184">
        <v>0</v>
      </c>
      <c r="AJ302" s="643">
        <v>0</v>
      </c>
    </row>
    <row r="303" spans="1:36" x14ac:dyDescent="0.2">
      <c r="A303" s="190" t="s">
        <v>116</v>
      </c>
      <c r="B303" s="642">
        <v>8</v>
      </c>
      <c r="C303" s="184">
        <v>0</v>
      </c>
      <c r="D303" s="184">
        <v>4</v>
      </c>
      <c r="E303" s="184">
        <v>0</v>
      </c>
      <c r="F303" s="184">
        <v>4</v>
      </c>
      <c r="G303" s="184">
        <v>0</v>
      </c>
      <c r="H303" s="184">
        <v>0</v>
      </c>
      <c r="I303" s="184">
        <v>0</v>
      </c>
      <c r="J303" s="184">
        <v>0</v>
      </c>
      <c r="K303" s="184">
        <v>0</v>
      </c>
      <c r="L303" s="184">
        <v>0</v>
      </c>
      <c r="M303" s="654" t="s">
        <v>24</v>
      </c>
      <c r="N303" s="669" t="s">
        <v>116</v>
      </c>
      <c r="O303" s="642">
        <v>0</v>
      </c>
      <c r="P303" s="184">
        <v>0</v>
      </c>
      <c r="Q303" s="184">
        <v>0</v>
      </c>
      <c r="R303" s="184">
        <v>0</v>
      </c>
      <c r="S303" s="184">
        <v>0</v>
      </c>
      <c r="T303" s="184">
        <v>1</v>
      </c>
      <c r="U303" s="184">
        <v>2</v>
      </c>
      <c r="V303" s="184">
        <v>3</v>
      </c>
      <c r="W303" s="184">
        <v>1</v>
      </c>
      <c r="X303" s="184">
        <v>1</v>
      </c>
      <c r="Y303" s="184">
        <v>0</v>
      </c>
      <c r="Z303" s="184">
        <v>0</v>
      </c>
      <c r="AA303" s="184">
        <v>0</v>
      </c>
      <c r="AB303" s="184">
        <v>0</v>
      </c>
      <c r="AC303" s="185">
        <v>42.1</v>
      </c>
      <c r="AD303" s="185" t="s">
        <v>24</v>
      </c>
      <c r="AE303" s="184">
        <v>0</v>
      </c>
      <c r="AF303" s="185">
        <v>0</v>
      </c>
      <c r="AG303" s="184">
        <v>0</v>
      </c>
      <c r="AH303" s="185">
        <v>0</v>
      </c>
      <c r="AI303" s="184">
        <v>0</v>
      </c>
      <c r="AJ303" s="643">
        <v>0</v>
      </c>
    </row>
    <row r="304" spans="1:36" ht="13.5" thickBot="1" x14ac:dyDescent="0.25">
      <c r="A304" s="190" t="s">
        <v>117</v>
      </c>
      <c r="B304" s="644">
        <v>7</v>
      </c>
      <c r="C304" s="188">
        <v>1</v>
      </c>
      <c r="D304" s="188">
        <v>6</v>
      </c>
      <c r="E304" s="188">
        <v>0</v>
      </c>
      <c r="F304" s="188">
        <v>0</v>
      </c>
      <c r="G304" s="188">
        <v>0</v>
      </c>
      <c r="H304" s="188">
        <v>0</v>
      </c>
      <c r="I304" s="188">
        <v>0</v>
      </c>
      <c r="J304" s="188">
        <v>0</v>
      </c>
      <c r="K304" s="188">
        <v>0</v>
      </c>
      <c r="L304" s="188">
        <v>0</v>
      </c>
      <c r="M304" s="655" t="s">
        <v>24</v>
      </c>
      <c r="N304" s="669" t="s">
        <v>117</v>
      </c>
      <c r="O304" s="644">
        <v>0</v>
      </c>
      <c r="P304" s="188">
        <v>0</v>
      </c>
      <c r="Q304" s="188">
        <v>0</v>
      </c>
      <c r="R304" s="188">
        <v>0</v>
      </c>
      <c r="S304" s="188">
        <v>0</v>
      </c>
      <c r="T304" s="188">
        <v>1</v>
      </c>
      <c r="U304" s="188">
        <v>1</v>
      </c>
      <c r="V304" s="188">
        <v>4</v>
      </c>
      <c r="W304" s="188">
        <v>0</v>
      </c>
      <c r="X304" s="188">
        <v>1</v>
      </c>
      <c r="Y304" s="188">
        <v>0</v>
      </c>
      <c r="Z304" s="188">
        <v>0</v>
      </c>
      <c r="AA304" s="188">
        <v>0</v>
      </c>
      <c r="AB304" s="188">
        <v>0</v>
      </c>
      <c r="AC304" s="189">
        <v>42.9</v>
      </c>
      <c r="AD304" s="189" t="s">
        <v>24</v>
      </c>
      <c r="AE304" s="188">
        <v>0</v>
      </c>
      <c r="AF304" s="189">
        <v>0</v>
      </c>
      <c r="AG304" s="188">
        <v>0</v>
      </c>
      <c r="AH304" s="189">
        <v>0</v>
      </c>
      <c r="AI304" s="188">
        <v>0</v>
      </c>
      <c r="AJ304" s="645">
        <v>0</v>
      </c>
    </row>
    <row r="305" spans="1:36" x14ac:dyDescent="0.2">
      <c r="A305" s="190" t="s">
        <v>71</v>
      </c>
      <c r="B305" s="642">
        <v>23</v>
      </c>
      <c r="C305" s="184">
        <v>0</v>
      </c>
      <c r="D305" s="184">
        <v>22</v>
      </c>
      <c r="E305" s="184">
        <v>1</v>
      </c>
      <c r="F305" s="184">
        <v>0</v>
      </c>
      <c r="G305" s="184">
        <v>0</v>
      </c>
      <c r="H305" s="184">
        <v>0</v>
      </c>
      <c r="I305" s="184">
        <v>0</v>
      </c>
      <c r="J305" s="184">
        <v>0</v>
      </c>
      <c r="K305" s="184">
        <v>0</v>
      </c>
      <c r="L305" s="184">
        <v>0</v>
      </c>
      <c r="M305" s="654" t="s">
        <v>24</v>
      </c>
      <c r="N305" s="669" t="s">
        <v>71</v>
      </c>
      <c r="O305" s="642">
        <v>0</v>
      </c>
      <c r="P305" s="184">
        <v>0</v>
      </c>
      <c r="Q305" s="184">
        <v>0</v>
      </c>
      <c r="R305" s="184">
        <v>0</v>
      </c>
      <c r="S305" s="184">
        <v>0</v>
      </c>
      <c r="T305" s="184">
        <v>2</v>
      </c>
      <c r="U305" s="184">
        <v>5</v>
      </c>
      <c r="V305" s="184">
        <v>6</v>
      </c>
      <c r="W305" s="184">
        <v>6</v>
      </c>
      <c r="X305" s="184">
        <v>3</v>
      </c>
      <c r="Y305" s="184">
        <v>1</v>
      </c>
      <c r="Z305" s="184">
        <v>0</v>
      </c>
      <c r="AA305" s="184">
        <v>0</v>
      </c>
      <c r="AB305" s="184">
        <v>0</v>
      </c>
      <c r="AC305" s="185">
        <v>44.5</v>
      </c>
      <c r="AD305" s="185">
        <v>52.3</v>
      </c>
      <c r="AE305" s="184">
        <v>1</v>
      </c>
      <c r="AF305" s="185">
        <v>4.3478260869565215</v>
      </c>
      <c r="AG305" s="184">
        <v>0</v>
      </c>
      <c r="AH305" s="185">
        <v>0</v>
      </c>
      <c r="AI305" s="184">
        <v>0</v>
      </c>
      <c r="AJ305" s="643">
        <v>0</v>
      </c>
    </row>
    <row r="306" spans="1:36" x14ac:dyDescent="0.2">
      <c r="A306" s="190" t="s">
        <v>118</v>
      </c>
      <c r="B306" s="642">
        <v>13</v>
      </c>
      <c r="C306" s="184">
        <v>1</v>
      </c>
      <c r="D306" s="184">
        <v>12</v>
      </c>
      <c r="E306" s="184">
        <v>0</v>
      </c>
      <c r="F306" s="184">
        <v>0</v>
      </c>
      <c r="G306" s="184">
        <v>0</v>
      </c>
      <c r="H306" s="184">
        <v>0</v>
      </c>
      <c r="I306" s="184">
        <v>0</v>
      </c>
      <c r="J306" s="184">
        <v>0</v>
      </c>
      <c r="K306" s="184">
        <v>0</v>
      </c>
      <c r="L306" s="184">
        <v>0</v>
      </c>
      <c r="M306" s="654" t="s">
        <v>24</v>
      </c>
      <c r="N306" s="669" t="s">
        <v>118</v>
      </c>
      <c r="O306" s="642">
        <v>0</v>
      </c>
      <c r="P306" s="184">
        <v>0</v>
      </c>
      <c r="Q306" s="184">
        <v>0</v>
      </c>
      <c r="R306" s="184">
        <v>0</v>
      </c>
      <c r="S306" s="184">
        <v>1</v>
      </c>
      <c r="T306" s="184">
        <v>1</v>
      </c>
      <c r="U306" s="184">
        <v>1</v>
      </c>
      <c r="V306" s="184">
        <v>3</v>
      </c>
      <c r="W306" s="184">
        <v>3</v>
      </c>
      <c r="X306" s="184">
        <v>4</v>
      </c>
      <c r="Y306" s="184">
        <v>0</v>
      </c>
      <c r="Z306" s="184">
        <v>0</v>
      </c>
      <c r="AA306" s="184">
        <v>0</v>
      </c>
      <c r="AB306" s="184">
        <v>0</v>
      </c>
      <c r="AC306" s="185">
        <v>44.2</v>
      </c>
      <c r="AD306" s="185">
        <v>52.9</v>
      </c>
      <c r="AE306" s="184">
        <v>0</v>
      </c>
      <c r="AF306" s="185">
        <v>0</v>
      </c>
      <c r="AG306" s="184">
        <v>0</v>
      </c>
      <c r="AH306" s="185">
        <v>0</v>
      </c>
      <c r="AI306" s="184">
        <v>0</v>
      </c>
      <c r="AJ306" s="643">
        <v>0</v>
      </c>
    </row>
    <row r="307" spans="1:36" x14ac:dyDescent="0.2">
      <c r="A307" s="190" t="s">
        <v>119</v>
      </c>
      <c r="B307" s="642">
        <v>15</v>
      </c>
      <c r="C307" s="184">
        <v>0</v>
      </c>
      <c r="D307" s="184">
        <v>13</v>
      </c>
      <c r="E307" s="184">
        <v>0</v>
      </c>
      <c r="F307" s="184">
        <v>2</v>
      </c>
      <c r="G307" s="184">
        <v>0</v>
      </c>
      <c r="H307" s="184">
        <v>0</v>
      </c>
      <c r="I307" s="184">
        <v>0</v>
      </c>
      <c r="J307" s="184">
        <v>0</v>
      </c>
      <c r="K307" s="184">
        <v>0</v>
      </c>
      <c r="L307" s="184">
        <v>0</v>
      </c>
      <c r="M307" s="654" t="s">
        <v>24</v>
      </c>
      <c r="N307" s="669" t="s">
        <v>119</v>
      </c>
      <c r="O307" s="642">
        <v>0</v>
      </c>
      <c r="P307" s="184">
        <v>0</v>
      </c>
      <c r="Q307" s="184">
        <v>0</v>
      </c>
      <c r="R307" s="184">
        <v>0</v>
      </c>
      <c r="S307" s="184">
        <v>0</v>
      </c>
      <c r="T307" s="184">
        <v>0</v>
      </c>
      <c r="U307" s="184">
        <v>3</v>
      </c>
      <c r="V307" s="184">
        <v>4</v>
      </c>
      <c r="W307" s="184">
        <v>4</v>
      </c>
      <c r="X307" s="184">
        <v>3</v>
      </c>
      <c r="Y307" s="184">
        <v>1</v>
      </c>
      <c r="Z307" s="184">
        <v>0</v>
      </c>
      <c r="AA307" s="184">
        <v>0</v>
      </c>
      <c r="AB307" s="184">
        <v>0</v>
      </c>
      <c r="AC307" s="185">
        <v>46.8</v>
      </c>
      <c r="AD307" s="185">
        <v>57.5</v>
      </c>
      <c r="AE307" s="184">
        <v>1</v>
      </c>
      <c r="AF307" s="185">
        <v>6.666666666666667</v>
      </c>
      <c r="AG307" s="184">
        <v>0</v>
      </c>
      <c r="AH307" s="185">
        <v>0</v>
      </c>
      <c r="AI307" s="184">
        <v>0</v>
      </c>
      <c r="AJ307" s="643">
        <v>0</v>
      </c>
    </row>
    <row r="308" spans="1:36" x14ac:dyDescent="0.2">
      <c r="A308" s="190" t="s">
        <v>120</v>
      </c>
      <c r="B308" s="642">
        <v>12</v>
      </c>
      <c r="C308" s="184">
        <v>0</v>
      </c>
      <c r="D308" s="184">
        <v>10</v>
      </c>
      <c r="E308" s="184">
        <v>0</v>
      </c>
      <c r="F308" s="184">
        <v>2</v>
      </c>
      <c r="G308" s="184">
        <v>0</v>
      </c>
      <c r="H308" s="184">
        <v>0</v>
      </c>
      <c r="I308" s="184">
        <v>0</v>
      </c>
      <c r="J308" s="184">
        <v>0</v>
      </c>
      <c r="K308" s="184">
        <v>0</v>
      </c>
      <c r="L308" s="184">
        <v>0</v>
      </c>
      <c r="M308" s="654" t="s">
        <v>24</v>
      </c>
      <c r="N308" s="669" t="s">
        <v>120</v>
      </c>
      <c r="O308" s="642">
        <v>0</v>
      </c>
      <c r="P308" s="184">
        <v>0</v>
      </c>
      <c r="Q308" s="184">
        <v>0</v>
      </c>
      <c r="R308" s="184">
        <v>0</v>
      </c>
      <c r="S308" s="184">
        <v>0</v>
      </c>
      <c r="T308" s="184">
        <v>0</v>
      </c>
      <c r="U308" s="184">
        <v>4</v>
      </c>
      <c r="V308" s="184">
        <v>5</v>
      </c>
      <c r="W308" s="184">
        <v>2</v>
      </c>
      <c r="X308" s="184">
        <v>1</v>
      </c>
      <c r="Y308" s="184">
        <v>0</v>
      </c>
      <c r="Z308" s="184">
        <v>0</v>
      </c>
      <c r="AA308" s="184">
        <v>0</v>
      </c>
      <c r="AB308" s="184">
        <v>0</v>
      </c>
      <c r="AC308" s="185">
        <v>42.3</v>
      </c>
      <c r="AD308" s="185">
        <v>48.7</v>
      </c>
      <c r="AE308" s="184">
        <v>0</v>
      </c>
      <c r="AF308" s="185">
        <v>0</v>
      </c>
      <c r="AG308" s="184">
        <v>0</v>
      </c>
      <c r="AH308" s="185">
        <v>0</v>
      </c>
      <c r="AI308" s="184">
        <v>0</v>
      </c>
      <c r="AJ308" s="643">
        <v>0</v>
      </c>
    </row>
    <row r="309" spans="1:36" x14ac:dyDescent="0.2">
      <c r="A309" s="190" t="s">
        <v>72</v>
      </c>
      <c r="B309" s="642">
        <v>7</v>
      </c>
      <c r="C309" s="184">
        <v>0</v>
      </c>
      <c r="D309" s="184">
        <v>7</v>
      </c>
      <c r="E309" s="184">
        <v>0</v>
      </c>
      <c r="F309" s="184">
        <v>0</v>
      </c>
      <c r="G309" s="184">
        <v>0</v>
      </c>
      <c r="H309" s="184">
        <v>0</v>
      </c>
      <c r="I309" s="184">
        <v>0</v>
      </c>
      <c r="J309" s="184">
        <v>0</v>
      </c>
      <c r="K309" s="184">
        <v>0</v>
      </c>
      <c r="L309" s="184">
        <v>0</v>
      </c>
      <c r="M309" s="654" t="s">
        <v>24</v>
      </c>
      <c r="N309" s="669" t="s">
        <v>72</v>
      </c>
      <c r="O309" s="642">
        <v>0</v>
      </c>
      <c r="P309" s="184">
        <v>0</v>
      </c>
      <c r="Q309" s="184">
        <v>0</v>
      </c>
      <c r="R309" s="184">
        <v>0</v>
      </c>
      <c r="S309" s="184">
        <v>0</v>
      </c>
      <c r="T309" s="184">
        <v>1</v>
      </c>
      <c r="U309" s="184">
        <v>1</v>
      </c>
      <c r="V309" s="184">
        <v>1</v>
      </c>
      <c r="W309" s="184">
        <v>3</v>
      </c>
      <c r="X309" s="184">
        <v>0</v>
      </c>
      <c r="Y309" s="184">
        <v>1</v>
      </c>
      <c r="Z309" s="184">
        <v>0</v>
      </c>
      <c r="AA309" s="184">
        <v>0</v>
      </c>
      <c r="AB309" s="184">
        <v>0</v>
      </c>
      <c r="AC309" s="185">
        <v>46.4</v>
      </c>
      <c r="AD309" s="185" t="s">
        <v>24</v>
      </c>
      <c r="AE309" s="184">
        <v>1</v>
      </c>
      <c r="AF309" s="185">
        <v>14.285714285714285</v>
      </c>
      <c r="AG309" s="184">
        <v>0</v>
      </c>
      <c r="AH309" s="185">
        <v>0</v>
      </c>
      <c r="AI309" s="184">
        <v>0</v>
      </c>
      <c r="AJ309" s="643">
        <v>0</v>
      </c>
    </row>
    <row r="310" spans="1:36" x14ac:dyDescent="0.2">
      <c r="A310" s="190" t="s">
        <v>121</v>
      </c>
      <c r="B310" s="642">
        <v>13</v>
      </c>
      <c r="C310" s="184">
        <v>0</v>
      </c>
      <c r="D310" s="184">
        <v>13</v>
      </c>
      <c r="E310" s="184">
        <v>0</v>
      </c>
      <c r="F310" s="184">
        <v>0</v>
      </c>
      <c r="G310" s="184">
        <v>0</v>
      </c>
      <c r="H310" s="184">
        <v>0</v>
      </c>
      <c r="I310" s="184">
        <v>0</v>
      </c>
      <c r="J310" s="184">
        <v>0</v>
      </c>
      <c r="K310" s="184">
        <v>0</v>
      </c>
      <c r="L310" s="184">
        <v>0</v>
      </c>
      <c r="M310" s="654" t="s">
        <v>24</v>
      </c>
      <c r="N310" s="669" t="s">
        <v>121</v>
      </c>
      <c r="O310" s="642">
        <v>0</v>
      </c>
      <c r="P310" s="184">
        <v>0</v>
      </c>
      <c r="Q310" s="184">
        <v>0</v>
      </c>
      <c r="R310" s="184">
        <v>0</v>
      </c>
      <c r="S310" s="184">
        <v>0</v>
      </c>
      <c r="T310" s="184">
        <v>0</v>
      </c>
      <c r="U310" s="184">
        <v>1</v>
      </c>
      <c r="V310" s="184">
        <v>2</v>
      </c>
      <c r="W310" s="184">
        <v>5</v>
      </c>
      <c r="X310" s="184">
        <v>5</v>
      </c>
      <c r="Y310" s="184">
        <v>0</v>
      </c>
      <c r="Z310" s="184">
        <v>0</v>
      </c>
      <c r="AA310" s="184">
        <v>0</v>
      </c>
      <c r="AB310" s="184">
        <v>0</v>
      </c>
      <c r="AC310" s="185">
        <v>48.9</v>
      </c>
      <c r="AD310" s="185">
        <v>56</v>
      </c>
      <c r="AE310" s="184">
        <v>0</v>
      </c>
      <c r="AF310" s="185">
        <v>0</v>
      </c>
      <c r="AG310" s="184">
        <v>0</v>
      </c>
      <c r="AH310" s="185">
        <v>0</v>
      </c>
      <c r="AI310" s="184">
        <v>0</v>
      </c>
      <c r="AJ310" s="643">
        <v>0</v>
      </c>
    </row>
    <row r="311" spans="1:36" x14ac:dyDescent="0.2">
      <c r="A311" s="190" t="s">
        <v>122</v>
      </c>
      <c r="B311" s="642">
        <v>6</v>
      </c>
      <c r="C311" s="184">
        <v>0</v>
      </c>
      <c r="D311" s="184">
        <v>5</v>
      </c>
      <c r="E311" s="184">
        <v>0</v>
      </c>
      <c r="F311" s="184">
        <v>1</v>
      </c>
      <c r="G311" s="184">
        <v>0</v>
      </c>
      <c r="H311" s="184">
        <v>0</v>
      </c>
      <c r="I311" s="184">
        <v>0</v>
      </c>
      <c r="J311" s="184">
        <v>0</v>
      </c>
      <c r="K311" s="184">
        <v>0</v>
      </c>
      <c r="L311" s="184">
        <v>0</v>
      </c>
      <c r="M311" s="654" t="s">
        <v>24</v>
      </c>
      <c r="N311" s="669" t="s">
        <v>122</v>
      </c>
      <c r="O311" s="642">
        <v>0</v>
      </c>
      <c r="P311" s="184">
        <v>0</v>
      </c>
      <c r="Q311" s="184">
        <v>0</v>
      </c>
      <c r="R311" s="184">
        <v>0</v>
      </c>
      <c r="S311" s="184">
        <v>0</v>
      </c>
      <c r="T311" s="184">
        <v>0</v>
      </c>
      <c r="U311" s="184">
        <v>4</v>
      </c>
      <c r="V311" s="184">
        <v>1</v>
      </c>
      <c r="W311" s="184">
        <v>1</v>
      </c>
      <c r="X311" s="184">
        <v>0</v>
      </c>
      <c r="Y311" s="184">
        <v>0</v>
      </c>
      <c r="Z311" s="184">
        <v>0</v>
      </c>
      <c r="AA311" s="184">
        <v>0</v>
      </c>
      <c r="AB311" s="184">
        <v>0</v>
      </c>
      <c r="AC311" s="185">
        <v>40.200000000000003</v>
      </c>
      <c r="AD311" s="185" t="s">
        <v>24</v>
      </c>
      <c r="AE311" s="184">
        <v>0</v>
      </c>
      <c r="AF311" s="185">
        <v>0</v>
      </c>
      <c r="AG311" s="184">
        <v>0</v>
      </c>
      <c r="AH311" s="185">
        <v>0</v>
      </c>
      <c r="AI311" s="184">
        <v>0</v>
      </c>
      <c r="AJ311" s="643">
        <v>0</v>
      </c>
    </row>
    <row r="312" spans="1:36" x14ac:dyDescent="0.2">
      <c r="A312" s="190" t="s">
        <v>123</v>
      </c>
      <c r="B312" s="642">
        <v>7</v>
      </c>
      <c r="C312" s="184">
        <v>0</v>
      </c>
      <c r="D312" s="184">
        <v>7</v>
      </c>
      <c r="E312" s="184">
        <v>0</v>
      </c>
      <c r="F312" s="184">
        <v>0</v>
      </c>
      <c r="G312" s="184">
        <v>0</v>
      </c>
      <c r="H312" s="184">
        <v>0</v>
      </c>
      <c r="I312" s="184">
        <v>0</v>
      </c>
      <c r="J312" s="184">
        <v>0</v>
      </c>
      <c r="K312" s="184">
        <v>0</v>
      </c>
      <c r="L312" s="184">
        <v>0</v>
      </c>
      <c r="M312" s="654" t="s">
        <v>24</v>
      </c>
      <c r="N312" s="669" t="s">
        <v>123</v>
      </c>
      <c r="O312" s="642">
        <v>0</v>
      </c>
      <c r="P312" s="184">
        <v>0</v>
      </c>
      <c r="Q312" s="184">
        <v>0</v>
      </c>
      <c r="R312" s="184">
        <v>0</v>
      </c>
      <c r="S312" s="184">
        <v>0</v>
      </c>
      <c r="T312" s="184">
        <v>0</v>
      </c>
      <c r="U312" s="184">
        <v>1</v>
      </c>
      <c r="V312" s="184">
        <v>0</v>
      </c>
      <c r="W312" s="184">
        <v>1</v>
      </c>
      <c r="X312" s="184">
        <v>5</v>
      </c>
      <c r="Y312" s="184">
        <v>0</v>
      </c>
      <c r="Z312" s="184">
        <v>0</v>
      </c>
      <c r="AA312" s="184">
        <v>0</v>
      </c>
      <c r="AB312" s="184">
        <v>0</v>
      </c>
      <c r="AC312" s="185">
        <v>51.2</v>
      </c>
      <c r="AD312" s="185" t="s">
        <v>24</v>
      </c>
      <c r="AE312" s="184">
        <v>0</v>
      </c>
      <c r="AF312" s="185">
        <v>0</v>
      </c>
      <c r="AG312" s="184">
        <v>0</v>
      </c>
      <c r="AH312" s="185">
        <v>0</v>
      </c>
      <c r="AI312" s="184">
        <v>0</v>
      </c>
      <c r="AJ312" s="643">
        <v>0</v>
      </c>
    </row>
    <row r="313" spans="1:36" x14ac:dyDescent="0.2">
      <c r="A313" s="190" t="s">
        <v>74</v>
      </c>
      <c r="B313" s="642">
        <v>4</v>
      </c>
      <c r="C313" s="184">
        <v>0</v>
      </c>
      <c r="D313" s="184">
        <v>4</v>
      </c>
      <c r="E313" s="184">
        <v>0</v>
      </c>
      <c r="F313" s="184">
        <v>0</v>
      </c>
      <c r="G313" s="184">
        <v>0</v>
      </c>
      <c r="H313" s="184">
        <v>0</v>
      </c>
      <c r="I313" s="184">
        <v>0</v>
      </c>
      <c r="J313" s="184">
        <v>0</v>
      </c>
      <c r="K313" s="184">
        <v>0</v>
      </c>
      <c r="L313" s="184">
        <v>0</v>
      </c>
      <c r="M313" s="654" t="s">
        <v>24</v>
      </c>
      <c r="N313" s="669" t="s">
        <v>74</v>
      </c>
      <c r="O313" s="642">
        <v>0</v>
      </c>
      <c r="P313" s="184">
        <v>0</v>
      </c>
      <c r="Q313" s="184">
        <v>0</v>
      </c>
      <c r="R313" s="184">
        <v>0</v>
      </c>
      <c r="S313" s="184">
        <v>0</v>
      </c>
      <c r="T313" s="184">
        <v>0</v>
      </c>
      <c r="U313" s="184">
        <v>2</v>
      </c>
      <c r="V313" s="184">
        <v>0</v>
      </c>
      <c r="W313" s="184">
        <v>1</v>
      </c>
      <c r="X313" s="184">
        <v>1</v>
      </c>
      <c r="Y313" s="184">
        <v>0</v>
      </c>
      <c r="Z313" s="184">
        <v>0</v>
      </c>
      <c r="AA313" s="184">
        <v>0</v>
      </c>
      <c r="AB313" s="184">
        <v>0</v>
      </c>
      <c r="AC313" s="185">
        <v>44</v>
      </c>
      <c r="AD313" s="185" t="s">
        <v>24</v>
      </c>
      <c r="AE313" s="184">
        <v>0</v>
      </c>
      <c r="AF313" s="185">
        <v>0</v>
      </c>
      <c r="AG313" s="184">
        <v>0</v>
      </c>
      <c r="AH313" s="185">
        <v>0</v>
      </c>
      <c r="AI313" s="184">
        <v>0</v>
      </c>
      <c r="AJ313" s="643">
        <v>0</v>
      </c>
    </row>
    <row r="314" spans="1:36" x14ac:dyDescent="0.2">
      <c r="A314" s="190" t="s">
        <v>124</v>
      </c>
      <c r="B314" s="642">
        <v>6</v>
      </c>
      <c r="C314" s="184">
        <v>0</v>
      </c>
      <c r="D314" s="184">
        <v>5</v>
      </c>
      <c r="E314" s="184">
        <v>0</v>
      </c>
      <c r="F314" s="184">
        <v>1</v>
      </c>
      <c r="G314" s="184">
        <v>0</v>
      </c>
      <c r="H314" s="184">
        <v>0</v>
      </c>
      <c r="I314" s="184">
        <v>0</v>
      </c>
      <c r="J314" s="184">
        <v>0</v>
      </c>
      <c r="K314" s="184">
        <v>0</v>
      </c>
      <c r="L314" s="184">
        <v>0</v>
      </c>
      <c r="M314" s="654" t="s">
        <v>24</v>
      </c>
      <c r="N314" s="669" t="s">
        <v>124</v>
      </c>
      <c r="O314" s="642">
        <v>0</v>
      </c>
      <c r="P314" s="184">
        <v>0</v>
      </c>
      <c r="Q314" s="184">
        <v>0</v>
      </c>
      <c r="R314" s="184">
        <v>0</v>
      </c>
      <c r="S314" s="184">
        <v>0</v>
      </c>
      <c r="T314" s="184">
        <v>0</v>
      </c>
      <c r="U314" s="184">
        <v>2</v>
      </c>
      <c r="V314" s="184">
        <v>1</v>
      </c>
      <c r="W314" s="184">
        <v>3</v>
      </c>
      <c r="X314" s="184">
        <v>0</v>
      </c>
      <c r="Y314" s="184">
        <v>0</v>
      </c>
      <c r="Z314" s="184">
        <v>0</v>
      </c>
      <c r="AA314" s="184">
        <v>0</v>
      </c>
      <c r="AB314" s="184">
        <v>0</v>
      </c>
      <c r="AC314" s="185">
        <v>43.2</v>
      </c>
      <c r="AD314" s="185" t="s">
        <v>24</v>
      </c>
      <c r="AE314" s="184">
        <v>0</v>
      </c>
      <c r="AF314" s="185">
        <v>0</v>
      </c>
      <c r="AG314" s="184">
        <v>0</v>
      </c>
      <c r="AH314" s="185">
        <v>0</v>
      </c>
      <c r="AI314" s="184">
        <v>0</v>
      </c>
      <c r="AJ314" s="643">
        <v>0</v>
      </c>
    </row>
    <row r="315" spans="1:36" x14ac:dyDescent="0.2">
      <c r="A315" s="190" t="s">
        <v>125</v>
      </c>
      <c r="B315" s="642">
        <v>4</v>
      </c>
      <c r="C315" s="184">
        <v>0</v>
      </c>
      <c r="D315" s="184">
        <v>4</v>
      </c>
      <c r="E315" s="184">
        <v>0</v>
      </c>
      <c r="F315" s="184">
        <v>0</v>
      </c>
      <c r="G315" s="184">
        <v>0</v>
      </c>
      <c r="H315" s="184">
        <v>0</v>
      </c>
      <c r="I315" s="184">
        <v>0</v>
      </c>
      <c r="J315" s="184">
        <v>0</v>
      </c>
      <c r="K315" s="184">
        <v>0</v>
      </c>
      <c r="L315" s="184">
        <v>0</v>
      </c>
      <c r="M315" s="654" t="s">
        <v>24</v>
      </c>
      <c r="N315" s="669" t="s">
        <v>125</v>
      </c>
      <c r="O315" s="642">
        <v>0</v>
      </c>
      <c r="P315" s="184">
        <v>0</v>
      </c>
      <c r="Q315" s="184">
        <v>0</v>
      </c>
      <c r="R315" s="184">
        <v>0</v>
      </c>
      <c r="S315" s="184">
        <v>0</v>
      </c>
      <c r="T315" s="184">
        <v>0</v>
      </c>
      <c r="U315" s="184">
        <v>0</v>
      </c>
      <c r="V315" s="184">
        <v>2</v>
      </c>
      <c r="W315" s="184">
        <v>1</v>
      </c>
      <c r="X315" s="184">
        <v>0</v>
      </c>
      <c r="Y315" s="184">
        <v>1</v>
      </c>
      <c r="Z315" s="184">
        <v>0</v>
      </c>
      <c r="AA315" s="184">
        <v>0</v>
      </c>
      <c r="AB315" s="184">
        <v>0</v>
      </c>
      <c r="AC315" s="185">
        <v>50.7</v>
      </c>
      <c r="AD315" s="185" t="s">
        <v>24</v>
      </c>
      <c r="AE315" s="184">
        <v>1</v>
      </c>
      <c r="AF315" s="185">
        <v>25</v>
      </c>
      <c r="AG315" s="184">
        <v>0</v>
      </c>
      <c r="AH315" s="185">
        <v>0</v>
      </c>
      <c r="AI315" s="184">
        <v>0</v>
      </c>
      <c r="AJ315" s="643">
        <v>0</v>
      </c>
    </row>
    <row r="316" spans="1:36" x14ac:dyDescent="0.2">
      <c r="A316" s="190" t="s">
        <v>126</v>
      </c>
      <c r="B316" s="642">
        <v>7</v>
      </c>
      <c r="C316" s="184">
        <v>0</v>
      </c>
      <c r="D316" s="184">
        <v>7</v>
      </c>
      <c r="E316" s="184">
        <v>0</v>
      </c>
      <c r="F316" s="184">
        <v>0</v>
      </c>
      <c r="G316" s="184">
        <v>0</v>
      </c>
      <c r="H316" s="184">
        <v>0</v>
      </c>
      <c r="I316" s="184">
        <v>0</v>
      </c>
      <c r="J316" s="184">
        <v>0</v>
      </c>
      <c r="K316" s="184">
        <v>0</v>
      </c>
      <c r="L316" s="184">
        <v>0</v>
      </c>
      <c r="M316" s="654" t="s">
        <v>24</v>
      </c>
      <c r="N316" s="669" t="s">
        <v>126</v>
      </c>
      <c r="O316" s="642">
        <v>0</v>
      </c>
      <c r="P316" s="184">
        <v>0</v>
      </c>
      <c r="Q316" s="184">
        <v>0</v>
      </c>
      <c r="R316" s="184">
        <v>0</v>
      </c>
      <c r="S316" s="184">
        <v>0</v>
      </c>
      <c r="T316" s="184">
        <v>1</v>
      </c>
      <c r="U316" s="184">
        <v>3</v>
      </c>
      <c r="V316" s="184">
        <v>2</v>
      </c>
      <c r="W316" s="184">
        <v>1</v>
      </c>
      <c r="X316" s="184">
        <v>0</v>
      </c>
      <c r="Y316" s="184">
        <v>0</v>
      </c>
      <c r="Z316" s="184">
        <v>0</v>
      </c>
      <c r="AA316" s="184">
        <v>0</v>
      </c>
      <c r="AB316" s="184">
        <v>0</v>
      </c>
      <c r="AC316" s="185">
        <v>39.799999999999997</v>
      </c>
      <c r="AD316" s="185" t="s">
        <v>24</v>
      </c>
      <c r="AE316" s="184">
        <v>0</v>
      </c>
      <c r="AF316" s="185">
        <v>0</v>
      </c>
      <c r="AG316" s="184">
        <v>0</v>
      </c>
      <c r="AH316" s="185">
        <v>0</v>
      </c>
      <c r="AI316" s="184">
        <v>0</v>
      </c>
      <c r="AJ316" s="643">
        <v>0</v>
      </c>
    </row>
    <row r="317" spans="1:36" x14ac:dyDescent="0.2">
      <c r="A317" s="190" t="s">
        <v>76</v>
      </c>
      <c r="B317" s="642">
        <v>4</v>
      </c>
      <c r="C317" s="184">
        <v>0</v>
      </c>
      <c r="D317" s="184">
        <v>4</v>
      </c>
      <c r="E317" s="184">
        <v>0</v>
      </c>
      <c r="F317" s="184">
        <v>0</v>
      </c>
      <c r="G317" s="184">
        <v>0</v>
      </c>
      <c r="H317" s="184">
        <v>0</v>
      </c>
      <c r="I317" s="184">
        <v>0</v>
      </c>
      <c r="J317" s="184">
        <v>0</v>
      </c>
      <c r="K317" s="184">
        <v>0</v>
      </c>
      <c r="L317" s="184">
        <v>0</v>
      </c>
      <c r="M317" s="654" t="s">
        <v>24</v>
      </c>
      <c r="N317" s="669" t="s">
        <v>76</v>
      </c>
      <c r="O317" s="642">
        <v>0</v>
      </c>
      <c r="P317" s="184">
        <v>0</v>
      </c>
      <c r="Q317" s="184">
        <v>0</v>
      </c>
      <c r="R317" s="184">
        <v>0</v>
      </c>
      <c r="S317" s="184">
        <v>0</v>
      </c>
      <c r="T317" s="184">
        <v>0</v>
      </c>
      <c r="U317" s="184">
        <v>0</v>
      </c>
      <c r="V317" s="184">
        <v>1</v>
      </c>
      <c r="W317" s="184">
        <v>2</v>
      </c>
      <c r="X317" s="184">
        <v>1</v>
      </c>
      <c r="Y317" s="184">
        <v>0</v>
      </c>
      <c r="Z317" s="184">
        <v>0</v>
      </c>
      <c r="AA317" s="184">
        <v>0</v>
      </c>
      <c r="AB317" s="184">
        <v>0</v>
      </c>
      <c r="AC317" s="185">
        <v>47.8</v>
      </c>
      <c r="AD317" s="185" t="s">
        <v>24</v>
      </c>
      <c r="AE317" s="184">
        <v>0</v>
      </c>
      <c r="AF317" s="185">
        <v>0</v>
      </c>
      <c r="AG317" s="184">
        <v>0</v>
      </c>
      <c r="AH317" s="185">
        <v>0</v>
      </c>
      <c r="AI317" s="184">
        <v>0</v>
      </c>
      <c r="AJ317" s="643">
        <v>0</v>
      </c>
    </row>
    <row r="318" spans="1:36" x14ac:dyDescent="0.2">
      <c r="A318" s="190" t="s">
        <v>127</v>
      </c>
      <c r="B318" s="642">
        <v>2</v>
      </c>
      <c r="C318" s="184">
        <v>0</v>
      </c>
      <c r="D318" s="184">
        <v>2</v>
      </c>
      <c r="E318" s="184">
        <v>0</v>
      </c>
      <c r="F318" s="184">
        <v>0</v>
      </c>
      <c r="G318" s="184">
        <v>0</v>
      </c>
      <c r="H318" s="184">
        <v>0</v>
      </c>
      <c r="I318" s="184">
        <v>0</v>
      </c>
      <c r="J318" s="184">
        <v>0</v>
      </c>
      <c r="K318" s="184">
        <v>0</v>
      </c>
      <c r="L318" s="184">
        <v>0</v>
      </c>
      <c r="M318" s="654" t="s">
        <v>24</v>
      </c>
      <c r="N318" s="669" t="s">
        <v>127</v>
      </c>
      <c r="O318" s="642">
        <v>0</v>
      </c>
      <c r="P318" s="184">
        <v>0</v>
      </c>
      <c r="Q318" s="184">
        <v>0</v>
      </c>
      <c r="R318" s="184">
        <v>0</v>
      </c>
      <c r="S318" s="184">
        <v>0</v>
      </c>
      <c r="T318" s="184">
        <v>0</v>
      </c>
      <c r="U318" s="184">
        <v>0</v>
      </c>
      <c r="V318" s="184">
        <v>2</v>
      </c>
      <c r="W318" s="184">
        <v>0</v>
      </c>
      <c r="X318" s="184">
        <v>0</v>
      </c>
      <c r="Y318" s="184">
        <v>0</v>
      </c>
      <c r="Z318" s="184">
        <v>0</v>
      </c>
      <c r="AA318" s="184">
        <v>0</v>
      </c>
      <c r="AB318" s="184">
        <v>0</v>
      </c>
      <c r="AC318" s="185">
        <v>43.3</v>
      </c>
      <c r="AD318" s="185" t="s">
        <v>24</v>
      </c>
      <c r="AE318" s="184">
        <v>0</v>
      </c>
      <c r="AF318" s="185">
        <v>0</v>
      </c>
      <c r="AG318" s="184">
        <v>0</v>
      </c>
      <c r="AH318" s="185">
        <v>0</v>
      </c>
      <c r="AI318" s="184">
        <v>0</v>
      </c>
      <c r="AJ318" s="643">
        <v>0</v>
      </c>
    </row>
    <row r="319" spans="1:36" x14ac:dyDescent="0.2">
      <c r="A319" s="190" t="s">
        <v>128</v>
      </c>
      <c r="B319" s="642">
        <v>3</v>
      </c>
      <c r="C319" s="184">
        <v>0</v>
      </c>
      <c r="D319" s="184">
        <v>2</v>
      </c>
      <c r="E319" s="184">
        <v>0</v>
      </c>
      <c r="F319" s="184">
        <v>1</v>
      </c>
      <c r="G319" s="184">
        <v>0</v>
      </c>
      <c r="H319" s="184">
        <v>0</v>
      </c>
      <c r="I319" s="184">
        <v>0</v>
      </c>
      <c r="J319" s="184">
        <v>0</v>
      </c>
      <c r="K319" s="184">
        <v>0</v>
      </c>
      <c r="L319" s="184">
        <v>0</v>
      </c>
      <c r="M319" s="654" t="s">
        <v>24</v>
      </c>
      <c r="N319" s="669" t="s">
        <v>128</v>
      </c>
      <c r="O319" s="642">
        <v>0</v>
      </c>
      <c r="P319" s="184">
        <v>0</v>
      </c>
      <c r="Q319" s="184">
        <v>0</v>
      </c>
      <c r="R319" s="184">
        <v>0</v>
      </c>
      <c r="S319" s="184">
        <v>0</v>
      </c>
      <c r="T319" s="184">
        <v>0</v>
      </c>
      <c r="U319" s="184">
        <v>1</v>
      </c>
      <c r="V319" s="184">
        <v>1</v>
      </c>
      <c r="W319" s="184">
        <v>1</v>
      </c>
      <c r="X319" s="184">
        <v>0</v>
      </c>
      <c r="Y319" s="184">
        <v>0</v>
      </c>
      <c r="Z319" s="184">
        <v>0</v>
      </c>
      <c r="AA319" s="184">
        <v>0</v>
      </c>
      <c r="AB319" s="184">
        <v>0</v>
      </c>
      <c r="AC319" s="185">
        <v>43.2</v>
      </c>
      <c r="AD319" s="185" t="s">
        <v>24</v>
      </c>
      <c r="AE319" s="184">
        <v>0</v>
      </c>
      <c r="AF319" s="185">
        <v>0</v>
      </c>
      <c r="AG319" s="184">
        <v>0</v>
      </c>
      <c r="AH319" s="185">
        <v>0</v>
      </c>
      <c r="AI319" s="184">
        <v>0</v>
      </c>
      <c r="AJ319" s="643">
        <v>0</v>
      </c>
    </row>
    <row r="320" spans="1:36" x14ac:dyDescent="0.2">
      <c r="A320" s="190" t="s">
        <v>129</v>
      </c>
      <c r="B320" s="642">
        <v>4</v>
      </c>
      <c r="C320" s="184">
        <v>0</v>
      </c>
      <c r="D320" s="184">
        <v>4</v>
      </c>
      <c r="E320" s="184">
        <v>0</v>
      </c>
      <c r="F320" s="184">
        <v>0</v>
      </c>
      <c r="G320" s="184">
        <v>0</v>
      </c>
      <c r="H320" s="184">
        <v>0</v>
      </c>
      <c r="I320" s="184">
        <v>0</v>
      </c>
      <c r="J320" s="184">
        <v>0</v>
      </c>
      <c r="K320" s="184">
        <v>0</v>
      </c>
      <c r="L320" s="184">
        <v>0</v>
      </c>
      <c r="M320" s="654" t="s">
        <v>24</v>
      </c>
      <c r="N320" s="669" t="s">
        <v>129</v>
      </c>
      <c r="O320" s="642">
        <v>0</v>
      </c>
      <c r="P320" s="184">
        <v>0</v>
      </c>
      <c r="Q320" s="184">
        <v>0</v>
      </c>
      <c r="R320" s="184">
        <v>0</v>
      </c>
      <c r="S320" s="184">
        <v>1</v>
      </c>
      <c r="T320" s="184">
        <v>0</v>
      </c>
      <c r="U320" s="184">
        <v>0</v>
      </c>
      <c r="V320" s="184">
        <v>1</v>
      </c>
      <c r="W320" s="184">
        <v>1</v>
      </c>
      <c r="X320" s="184">
        <v>0</v>
      </c>
      <c r="Y320" s="184">
        <v>0</v>
      </c>
      <c r="Z320" s="184">
        <v>1</v>
      </c>
      <c r="AA320" s="184">
        <v>0</v>
      </c>
      <c r="AB320" s="184">
        <v>0</v>
      </c>
      <c r="AC320" s="185">
        <v>50</v>
      </c>
      <c r="AD320" s="185" t="s">
        <v>24</v>
      </c>
      <c r="AE320" s="184">
        <v>1</v>
      </c>
      <c r="AF320" s="185">
        <v>25</v>
      </c>
      <c r="AG320" s="184">
        <v>1</v>
      </c>
      <c r="AH320" s="185">
        <v>25</v>
      </c>
      <c r="AI320" s="184">
        <v>1</v>
      </c>
      <c r="AJ320" s="643">
        <v>25</v>
      </c>
    </row>
    <row r="321" spans="1:37" x14ac:dyDescent="0.2">
      <c r="A321" s="190" t="s">
        <v>78</v>
      </c>
      <c r="B321" s="642">
        <v>0</v>
      </c>
      <c r="C321" s="184">
        <v>0</v>
      </c>
      <c r="D321" s="184">
        <v>0</v>
      </c>
      <c r="E321" s="184">
        <v>0</v>
      </c>
      <c r="F321" s="184">
        <v>0</v>
      </c>
      <c r="G321" s="184">
        <v>0</v>
      </c>
      <c r="H321" s="184">
        <v>0</v>
      </c>
      <c r="I321" s="184">
        <v>0</v>
      </c>
      <c r="J321" s="184">
        <v>0</v>
      </c>
      <c r="K321" s="184">
        <v>0</v>
      </c>
      <c r="L321" s="184">
        <v>0</v>
      </c>
      <c r="M321" s="654" t="s">
        <v>24</v>
      </c>
      <c r="N321" s="669" t="s">
        <v>78</v>
      </c>
      <c r="O321" s="642">
        <v>0</v>
      </c>
      <c r="P321" s="184">
        <v>0</v>
      </c>
      <c r="Q321" s="184">
        <v>0</v>
      </c>
      <c r="R321" s="184">
        <v>0</v>
      </c>
      <c r="S321" s="184">
        <v>0</v>
      </c>
      <c r="T321" s="184">
        <v>0</v>
      </c>
      <c r="U321" s="184">
        <v>0</v>
      </c>
      <c r="V321" s="184">
        <v>0</v>
      </c>
      <c r="W321" s="184">
        <v>0</v>
      </c>
      <c r="X321" s="184">
        <v>0</v>
      </c>
      <c r="Y321" s="184">
        <v>0</v>
      </c>
      <c r="Z321" s="184">
        <v>0</v>
      </c>
      <c r="AA321" s="184">
        <v>0</v>
      </c>
      <c r="AB321" s="184">
        <v>0</v>
      </c>
      <c r="AC321" s="185" t="s">
        <v>24</v>
      </c>
      <c r="AD321" s="185" t="s">
        <v>24</v>
      </c>
      <c r="AE321" s="184">
        <v>0</v>
      </c>
      <c r="AF321" s="185">
        <v>0</v>
      </c>
      <c r="AG321" s="184">
        <v>0</v>
      </c>
      <c r="AH321" s="185">
        <v>0</v>
      </c>
      <c r="AI321" s="184">
        <v>0</v>
      </c>
      <c r="AJ321" s="643">
        <v>0</v>
      </c>
    </row>
    <row r="322" spans="1:37" x14ac:dyDescent="0.2">
      <c r="A322" s="190" t="s">
        <v>130</v>
      </c>
      <c r="B322" s="642">
        <v>0</v>
      </c>
      <c r="C322" s="184">
        <v>0</v>
      </c>
      <c r="D322" s="184">
        <v>0</v>
      </c>
      <c r="E322" s="184">
        <v>0</v>
      </c>
      <c r="F322" s="184">
        <v>0</v>
      </c>
      <c r="G322" s="184">
        <v>0</v>
      </c>
      <c r="H322" s="184">
        <v>0</v>
      </c>
      <c r="I322" s="184">
        <v>0</v>
      </c>
      <c r="J322" s="184">
        <v>0</v>
      </c>
      <c r="K322" s="184">
        <v>0</v>
      </c>
      <c r="L322" s="184">
        <v>0</v>
      </c>
      <c r="M322" s="654" t="s">
        <v>24</v>
      </c>
      <c r="N322" s="669" t="s">
        <v>130</v>
      </c>
      <c r="O322" s="642">
        <v>0</v>
      </c>
      <c r="P322" s="184">
        <v>0</v>
      </c>
      <c r="Q322" s="184">
        <v>0</v>
      </c>
      <c r="R322" s="184">
        <v>0</v>
      </c>
      <c r="S322" s="184">
        <v>0</v>
      </c>
      <c r="T322" s="184">
        <v>0</v>
      </c>
      <c r="U322" s="184">
        <v>0</v>
      </c>
      <c r="V322" s="184">
        <v>0</v>
      </c>
      <c r="W322" s="184">
        <v>0</v>
      </c>
      <c r="X322" s="184">
        <v>0</v>
      </c>
      <c r="Y322" s="184">
        <v>0</v>
      </c>
      <c r="Z322" s="184">
        <v>0</v>
      </c>
      <c r="AA322" s="184">
        <v>0</v>
      </c>
      <c r="AB322" s="184">
        <v>0</v>
      </c>
      <c r="AC322" s="185" t="s">
        <v>24</v>
      </c>
      <c r="AD322" s="185" t="s">
        <v>24</v>
      </c>
      <c r="AE322" s="184">
        <v>0</v>
      </c>
      <c r="AF322" s="185">
        <v>0</v>
      </c>
      <c r="AG322" s="184">
        <v>0</v>
      </c>
      <c r="AH322" s="185">
        <v>0</v>
      </c>
      <c r="AI322" s="184">
        <v>0</v>
      </c>
      <c r="AJ322" s="643">
        <v>0</v>
      </c>
    </row>
    <row r="323" spans="1:37" x14ac:dyDescent="0.2">
      <c r="A323" s="190" t="s">
        <v>131</v>
      </c>
      <c r="B323" s="642">
        <v>3</v>
      </c>
      <c r="C323" s="184">
        <v>0</v>
      </c>
      <c r="D323" s="184">
        <v>3</v>
      </c>
      <c r="E323" s="184">
        <v>0</v>
      </c>
      <c r="F323" s="184">
        <v>0</v>
      </c>
      <c r="G323" s="184">
        <v>0</v>
      </c>
      <c r="H323" s="184">
        <v>0</v>
      </c>
      <c r="I323" s="184">
        <v>0</v>
      </c>
      <c r="J323" s="184">
        <v>0</v>
      </c>
      <c r="K323" s="184">
        <v>0</v>
      </c>
      <c r="L323" s="184">
        <v>0</v>
      </c>
      <c r="M323" s="654" t="s">
        <v>24</v>
      </c>
      <c r="N323" s="669" t="s">
        <v>131</v>
      </c>
      <c r="O323" s="642">
        <v>0</v>
      </c>
      <c r="P323" s="184">
        <v>0</v>
      </c>
      <c r="Q323" s="184">
        <v>0</v>
      </c>
      <c r="R323" s="184">
        <v>0</v>
      </c>
      <c r="S323" s="184">
        <v>0</v>
      </c>
      <c r="T323" s="184">
        <v>0</v>
      </c>
      <c r="U323" s="184">
        <v>0</v>
      </c>
      <c r="V323" s="184">
        <v>0</v>
      </c>
      <c r="W323" s="184">
        <v>1</v>
      </c>
      <c r="X323" s="184">
        <v>2</v>
      </c>
      <c r="Y323" s="184">
        <v>0</v>
      </c>
      <c r="Z323" s="184">
        <v>0</v>
      </c>
      <c r="AA323" s="184">
        <v>0</v>
      </c>
      <c r="AB323" s="184">
        <v>0</v>
      </c>
      <c r="AC323" s="185">
        <v>54</v>
      </c>
      <c r="AD323" s="185" t="s">
        <v>24</v>
      </c>
      <c r="AE323" s="184">
        <v>0</v>
      </c>
      <c r="AF323" s="185">
        <v>0</v>
      </c>
      <c r="AG323" s="184">
        <v>0</v>
      </c>
      <c r="AH323" s="185">
        <v>0</v>
      </c>
      <c r="AI323" s="184">
        <v>0</v>
      </c>
      <c r="AJ323" s="643">
        <v>0</v>
      </c>
    </row>
    <row r="324" spans="1:37" x14ac:dyDescent="0.2">
      <c r="A324" s="190" t="s">
        <v>132</v>
      </c>
      <c r="B324" s="648">
        <v>0</v>
      </c>
      <c r="C324" s="649">
        <v>0</v>
      </c>
      <c r="D324" s="649">
        <v>0</v>
      </c>
      <c r="E324" s="649">
        <v>0</v>
      </c>
      <c r="F324" s="649">
        <v>0</v>
      </c>
      <c r="G324" s="649">
        <v>0</v>
      </c>
      <c r="H324" s="649">
        <v>0</v>
      </c>
      <c r="I324" s="649">
        <v>0</v>
      </c>
      <c r="J324" s="649">
        <v>0</v>
      </c>
      <c r="K324" s="649">
        <v>0</v>
      </c>
      <c r="L324" s="649">
        <v>0</v>
      </c>
      <c r="M324" s="657" t="s">
        <v>24</v>
      </c>
      <c r="N324" s="669" t="s">
        <v>132</v>
      </c>
      <c r="O324" s="648">
        <v>0</v>
      </c>
      <c r="P324" s="649">
        <v>0</v>
      </c>
      <c r="Q324" s="649">
        <v>0</v>
      </c>
      <c r="R324" s="649">
        <v>0</v>
      </c>
      <c r="S324" s="649">
        <v>0</v>
      </c>
      <c r="T324" s="649">
        <v>0</v>
      </c>
      <c r="U324" s="649">
        <v>0</v>
      </c>
      <c r="V324" s="649">
        <v>0</v>
      </c>
      <c r="W324" s="649">
        <v>0</v>
      </c>
      <c r="X324" s="649">
        <v>0</v>
      </c>
      <c r="Y324" s="649">
        <v>0</v>
      </c>
      <c r="Z324" s="649">
        <v>0</v>
      </c>
      <c r="AA324" s="649">
        <v>0</v>
      </c>
      <c r="AB324" s="649">
        <v>0</v>
      </c>
      <c r="AC324" s="650" t="s">
        <v>24</v>
      </c>
      <c r="AD324" s="650" t="s">
        <v>24</v>
      </c>
      <c r="AE324" s="649">
        <v>0</v>
      </c>
      <c r="AF324" s="650">
        <v>0</v>
      </c>
      <c r="AG324" s="649">
        <v>0</v>
      </c>
      <c r="AH324" s="650">
        <v>0</v>
      </c>
      <c r="AI324" s="649">
        <v>0</v>
      </c>
      <c r="AJ324" s="651">
        <v>0</v>
      </c>
    </row>
    <row r="325" spans="1:37" x14ac:dyDescent="0.2">
      <c r="A325" s="190" t="s">
        <v>133</v>
      </c>
      <c r="B325" s="590">
        <v>541</v>
      </c>
      <c r="C325" s="591">
        <v>10</v>
      </c>
      <c r="D325" s="591">
        <v>460</v>
      </c>
      <c r="E325" s="591">
        <v>9</v>
      </c>
      <c r="F325" s="591">
        <v>51</v>
      </c>
      <c r="G325" s="591">
        <v>3</v>
      </c>
      <c r="H325" s="591">
        <v>2</v>
      </c>
      <c r="I325" s="591">
        <v>2</v>
      </c>
      <c r="J325" s="591">
        <v>0</v>
      </c>
      <c r="K325" s="591">
        <v>2</v>
      </c>
      <c r="L325" s="591">
        <v>2</v>
      </c>
      <c r="M325" s="591" t="s">
        <v>24</v>
      </c>
      <c r="N325" s="584" t="s">
        <v>133</v>
      </c>
      <c r="O325" s="591">
        <v>0</v>
      </c>
      <c r="P325" s="591">
        <v>5</v>
      </c>
      <c r="Q325" s="591">
        <v>5</v>
      </c>
      <c r="R325" s="591">
        <v>16</v>
      </c>
      <c r="S325" s="591">
        <v>42</v>
      </c>
      <c r="T325" s="591">
        <v>87</v>
      </c>
      <c r="U325" s="591">
        <v>129</v>
      </c>
      <c r="V325" s="591">
        <v>136</v>
      </c>
      <c r="W325" s="591">
        <v>68</v>
      </c>
      <c r="X325" s="591">
        <v>47</v>
      </c>
      <c r="Y325" s="591">
        <v>4</v>
      </c>
      <c r="Z325" s="591">
        <v>1</v>
      </c>
      <c r="AA325" s="591">
        <v>1</v>
      </c>
      <c r="AB325" s="591">
        <v>0</v>
      </c>
      <c r="AC325" s="606">
        <v>38.75833333333334</v>
      </c>
      <c r="AD325" s="606">
        <v>47.890476190476186</v>
      </c>
      <c r="AE325" s="591">
        <v>6</v>
      </c>
      <c r="AF325" s="606">
        <v>1.0634540897698794</v>
      </c>
      <c r="AG325" s="591">
        <v>2</v>
      </c>
      <c r="AH325" s="606">
        <v>0.35714285714285715</v>
      </c>
      <c r="AI325" s="591">
        <v>2</v>
      </c>
      <c r="AJ325" s="607">
        <v>0.35714285714285715</v>
      </c>
    </row>
    <row r="326" spans="1:37" x14ac:dyDescent="0.2">
      <c r="A326" s="190" t="s">
        <v>134</v>
      </c>
      <c r="B326" s="593">
        <v>670</v>
      </c>
      <c r="C326" s="181">
        <v>12</v>
      </c>
      <c r="D326" s="181">
        <v>579</v>
      </c>
      <c r="E326" s="181">
        <v>10</v>
      </c>
      <c r="F326" s="181">
        <v>58</v>
      </c>
      <c r="G326" s="181">
        <v>3</v>
      </c>
      <c r="H326" s="181">
        <v>2</v>
      </c>
      <c r="I326" s="181">
        <v>2</v>
      </c>
      <c r="J326" s="181">
        <v>0</v>
      </c>
      <c r="K326" s="181">
        <v>2</v>
      </c>
      <c r="L326" s="181">
        <v>2</v>
      </c>
      <c r="M326" s="181" t="s">
        <v>24</v>
      </c>
      <c r="N326" s="585" t="s">
        <v>134</v>
      </c>
      <c r="O326" s="181">
        <v>0</v>
      </c>
      <c r="P326" s="181">
        <v>5</v>
      </c>
      <c r="Q326" s="181">
        <v>6</v>
      </c>
      <c r="R326" s="181">
        <v>16</v>
      </c>
      <c r="S326" s="181">
        <v>43</v>
      </c>
      <c r="T326" s="181">
        <v>93</v>
      </c>
      <c r="U326" s="181">
        <v>159</v>
      </c>
      <c r="V326" s="181">
        <v>165</v>
      </c>
      <c r="W326" s="181">
        <v>102</v>
      </c>
      <c r="X326" s="181">
        <v>71</v>
      </c>
      <c r="Y326" s="181">
        <v>8</v>
      </c>
      <c r="Z326" s="181">
        <v>1</v>
      </c>
      <c r="AA326" s="181">
        <v>1</v>
      </c>
      <c r="AB326" s="181">
        <v>0</v>
      </c>
      <c r="AC326" s="182">
        <v>40.184375000000003</v>
      </c>
      <c r="AD326" s="182">
        <v>48.965384615384622</v>
      </c>
      <c r="AE326" s="181">
        <v>10</v>
      </c>
      <c r="AF326" s="182">
        <v>1.5835313023170574</v>
      </c>
      <c r="AG326" s="181">
        <v>2</v>
      </c>
      <c r="AH326" s="182">
        <v>0.26785714285714285</v>
      </c>
      <c r="AI326" s="181">
        <v>2</v>
      </c>
      <c r="AJ326" s="608">
        <v>0.26785714285714285</v>
      </c>
    </row>
    <row r="327" spans="1:37" x14ac:dyDescent="0.2">
      <c r="A327" s="190" t="s">
        <v>135</v>
      </c>
      <c r="B327" s="593">
        <v>686</v>
      </c>
      <c r="C327" s="181">
        <v>12</v>
      </c>
      <c r="D327" s="181">
        <v>594</v>
      </c>
      <c r="E327" s="181">
        <v>10</v>
      </c>
      <c r="F327" s="181">
        <v>59</v>
      </c>
      <c r="G327" s="181">
        <v>3</v>
      </c>
      <c r="H327" s="181">
        <v>2</v>
      </c>
      <c r="I327" s="181">
        <v>2</v>
      </c>
      <c r="J327" s="181">
        <v>0</v>
      </c>
      <c r="K327" s="181">
        <v>2</v>
      </c>
      <c r="L327" s="181">
        <v>2</v>
      </c>
      <c r="M327" s="181" t="s">
        <v>24</v>
      </c>
      <c r="N327" s="585" t="s">
        <v>135</v>
      </c>
      <c r="O327" s="181">
        <v>0</v>
      </c>
      <c r="P327" s="181">
        <v>5</v>
      </c>
      <c r="Q327" s="181">
        <v>6</v>
      </c>
      <c r="R327" s="181">
        <v>16</v>
      </c>
      <c r="S327" s="181">
        <v>44</v>
      </c>
      <c r="T327" s="181">
        <v>93</v>
      </c>
      <c r="U327" s="181">
        <v>160</v>
      </c>
      <c r="V327" s="181">
        <v>170</v>
      </c>
      <c r="W327" s="181">
        <v>107</v>
      </c>
      <c r="X327" s="181">
        <v>74</v>
      </c>
      <c r="Y327" s="181">
        <v>8</v>
      </c>
      <c r="Z327" s="181">
        <v>2</v>
      </c>
      <c r="AA327" s="181">
        <v>1</v>
      </c>
      <c r="AB327" s="181">
        <v>0</v>
      </c>
      <c r="AC327" s="182">
        <v>40.726086956521748</v>
      </c>
      <c r="AD327" s="182">
        <v>48.965384615384622</v>
      </c>
      <c r="AE327" s="181">
        <v>11</v>
      </c>
      <c r="AF327" s="182">
        <v>1.7548056020596066</v>
      </c>
      <c r="AG327" s="181">
        <v>3</v>
      </c>
      <c r="AH327" s="182">
        <v>0.58531746031746024</v>
      </c>
      <c r="AI327" s="181">
        <v>3</v>
      </c>
      <c r="AJ327" s="608">
        <v>0.58531746031746024</v>
      </c>
    </row>
    <row r="328" spans="1:37" x14ac:dyDescent="0.2">
      <c r="A328" s="190" t="s">
        <v>136</v>
      </c>
      <c r="B328" s="595">
        <v>692</v>
      </c>
      <c r="C328" s="596">
        <v>12</v>
      </c>
      <c r="D328" s="596">
        <v>600</v>
      </c>
      <c r="E328" s="596">
        <v>10</v>
      </c>
      <c r="F328" s="596">
        <v>59</v>
      </c>
      <c r="G328" s="596">
        <v>3</v>
      </c>
      <c r="H328" s="596">
        <v>2</v>
      </c>
      <c r="I328" s="596">
        <v>2</v>
      </c>
      <c r="J328" s="596">
        <v>0</v>
      </c>
      <c r="K328" s="596">
        <v>2</v>
      </c>
      <c r="L328" s="596">
        <v>2</v>
      </c>
      <c r="M328" s="596" t="s">
        <v>24</v>
      </c>
      <c r="N328" s="586" t="s">
        <v>136</v>
      </c>
      <c r="O328" s="596">
        <v>0</v>
      </c>
      <c r="P328" s="596">
        <v>5</v>
      </c>
      <c r="Q328" s="596">
        <v>6</v>
      </c>
      <c r="R328" s="596">
        <v>16</v>
      </c>
      <c r="S328" s="596">
        <v>44</v>
      </c>
      <c r="T328" s="596">
        <v>93</v>
      </c>
      <c r="U328" s="596">
        <v>165</v>
      </c>
      <c r="V328" s="596">
        <v>170</v>
      </c>
      <c r="W328" s="596">
        <v>107</v>
      </c>
      <c r="X328" s="596">
        <v>75</v>
      </c>
      <c r="Y328" s="596">
        <v>8</v>
      </c>
      <c r="Z328" s="596">
        <v>2</v>
      </c>
      <c r="AA328" s="596">
        <v>1</v>
      </c>
      <c r="AB328" s="596">
        <v>0</v>
      </c>
      <c r="AC328" s="609">
        <v>40.704000000000001</v>
      </c>
      <c r="AD328" s="609">
        <v>48.965384615384622</v>
      </c>
      <c r="AE328" s="596">
        <v>11</v>
      </c>
      <c r="AF328" s="609">
        <v>1.3161042015447049</v>
      </c>
      <c r="AG328" s="596">
        <v>3</v>
      </c>
      <c r="AH328" s="609">
        <v>0.43898809523809518</v>
      </c>
      <c r="AI328" s="596">
        <v>3</v>
      </c>
      <c r="AJ328" s="610">
        <v>0.43898809523809518</v>
      </c>
    </row>
    <row r="329" spans="1:37" x14ac:dyDescent="0.2">
      <c r="A329" s="190"/>
      <c r="B329" s="660"/>
      <c r="C329" s="661"/>
      <c r="D329" s="661"/>
      <c r="E329" s="661"/>
      <c r="F329" s="661"/>
      <c r="G329" s="661"/>
      <c r="H329" s="661"/>
      <c r="I329" s="661"/>
      <c r="J329" s="661"/>
      <c r="K329" s="661"/>
      <c r="L329" s="661"/>
      <c r="M329" s="661"/>
      <c r="N329" s="662"/>
      <c r="O329" s="661"/>
      <c r="P329" s="661"/>
      <c r="Q329" s="661"/>
      <c r="R329" s="661"/>
      <c r="S329" s="661"/>
      <c r="T329" s="661"/>
      <c r="U329" s="661"/>
      <c r="V329" s="661"/>
      <c r="W329" s="661"/>
      <c r="X329" s="661"/>
      <c r="Y329" s="661"/>
      <c r="Z329" s="661"/>
      <c r="AA329" s="661"/>
      <c r="AB329" s="661"/>
      <c r="AC329" s="663"/>
      <c r="AD329" s="663"/>
      <c r="AE329" s="661"/>
      <c r="AF329" s="663"/>
      <c r="AG329" s="661"/>
      <c r="AH329" s="663"/>
      <c r="AI329" s="661"/>
      <c r="AJ329" s="663"/>
    </row>
    <row r="330" spans="1:37" x14ac:dyDescent="0.2">
      <c r="A330" s="190"/>
      <c r="B330" s="664"/>
      <c r="C330" s="169"/>
      <c r="D330" s="169"/>
      <c r="E330" s="169"/>
      <c r="F330" s="169"/>
      <c r="G330" s="169"/>
      <c r="H330" s="169"/>
      <c r="I330" s="169"/>
      <c r="J330" s="169"/>
      <c r="K330" s="169"/>
      <c r="L330" s="169"/>
      <c r="M330" s="169"/>
      <c r="N330" s="178"/>
      <c r="O330" s="169"/>
      <c r="P330" s="169"/>
      <c r="Q330" s="169"/>
      <c r="R330" s="169"/>
      <c r="S330" s="169"/>
      <c r="T330" s="169"/>
      <c r="U330" s="169"/>
      <c r="V330" s="169"/>
      <c r="W330" s="169"/>
      <c r="X330" s="169"/>
      <c r="Y330" s="169"/>
      <c r="Z330" s="169"/>
      <c r="AA330" s="169"/>
      <c r="AB330" s="169"/>
      <c r="AC330" s="177"/>
      <c r="AD330" s="177"/>
      <c r="AE330" s="169"/>
      <c r="AF330" s="177"/>
      <c r="AG330" s="169"/>
      <c r="AH330" s="177"/>
      <c r="AI330" s="169"/>
      <c r="AJ330" s="177"/>
    </row>
    <row r="331" spans="1:37" x14ac:dyDescent="0.2">
      <c r="A331" s="658">
        <f>A224+1</f>
        <v>43266</v>
      </c>
      <c r="B331" s="664"/>
      <c r="C331" s="169"/>
      <c r="D331" s="169"/>
      <c r="E331" s="169"/>
      <c r="F331" s="169"/>
      <c r="G331" s="169"/>
      <c r="H331" s="169"/>
      <c r="I331" s="169"/>
      <c r="J331" s="169"/>
      <c r="K331" s="169"/>
      <c r="L331" s="169"/>
      <c r="M331" s="169"/>
      <c r="N331" s="178"/>
      <c r="O331" s="169"/>
      <c r="P331" s="169"/>
      <c r="Q331" s="169"/>
      <c r="R331" s="169"/>
      <c r="S331" s="169"/>
      <c r="T331" s="169"/>
      <c r="U331" s="169"/>
      <c r="V331" s="169"/>
      <c r="W331" s="169"/>
      <c r="X331" s="169"/>
      <c r="Y331" s="169"/>
      <c r="Z331" s="169"/>
      <c r="AA331" s="169"/>
      <c r="AB331" s="169"/>
      <c r="AC331" s="177"/>
      <c r="AD331" s="177"/>
      <c r="AE331" s="169"/>
      <c r="AF331" s="177"/>
      <c r="AG331" s="169"/>
      <c r="AH331" s="177"/>
      <c r="AI331" s="169"/>
      <c r="AJ331" s="177"/>
    </row>
    <row r="332" spans="1:37" x14ac:dyDescent="0.2">
      <c r="A332" s="190"/>
      <c r="B332" s="665"/>
      <c r="C332" s="666"/>
      <c r="D332" s="666"/>
      <c r="E332" s="666"/>
      <c r="F332" s="666"/>
      <c r="G332" s="666"/>
      <c r="H332" s="666"/>
      <c r="I332" s="666"/>
      <c r="J332" s="666"/>
      <c r="K332" s="666"/>
      <c r="L332" s="666"/>
      <c r="M332" s="666"/>
      <c r="N332" s="667"/>
      <c r="O332" s="666"/>
      <c r="P332" s="666"/>
      <c r="Q332" s="666"/>
      <c r="R332" s="666"/>
      <c r="S332" s="666"/>
      <c r="T332" s="666"/>
      <c r="U332" s="666"/>
      <c r="V332" s="666"/>
      <c r="W332" s="666"/>
      <c r="X332" s="666"/>
      <c r="Y332" s="666"/>
      <c r="Z332" s="666"/>
      <c r="AA332" s="666"/>
      <c r="AB332" s="666"/>
      <c r="AC332" s="668"/>
      <c r="AD332" s="668"/>
      <c r="AE332" s="666"/>
      <c r="AF332" s="668"/>
      <c r="AG332" s="666"/>
      <c r="AH332" s="668"/>
      <c r="AI332" s="666"/>
      <c r="AJ332" s="668"/>
      <c r="AK332" s="686"/>
    </row>
    <row r="333" spans="1:37" x14ac:dyDescent="0.2">
      <c r="A333" s="565" t="s">
        <v>253</v>
      </c>
      <c r="B333" s="568" t="s">
        <v>0</v>
      </c>
      <c r="C333" s="569" t="s">
        <v>442</v>
      </c>
      <c r="D333" s="569" t="s">
        <v>215</v>
      </c>
      <c r="E333" s="569" t="s">
        <v>443</v>
      </c>
      <c r="F333" s="569" t="s">
        <v>444</v>
      </c>
      <c r="G333" s="569" t="s">
        <v>445</v>
      </c>
      <c r="H333" s="569" t="s">
        <v>446</v>
      </c>
      <c r="I333" s="569" t="s">
        <v>447</v>
      </c>
      <c r="J333" s="569" t="s">
        <v>448</v>
      </c>
      <c r="K333" s="569" t="s">
        <v>449</v>
      </c>
      <c r="L333" s="569" t="s">
        <v>450</v>
      </c>
      <c r="M333" s="569"/>
      <c r="N333" s="584" t="s">
        <v>11</v>
      </c>
      <c r="O333" s="569" t="s">
        <v>268</v>
      </c>
      <c r="P333" s="569" t="s">
        <v>269</v>
      </c>
      <c r="Q333" s="569" t="s">
        <v>270</v>
      </c>
      <c r="R333" s="569" t="s">
        <v>271</v>
      </c>
      <c r="S333" s="569" t="s">
        <v>272</v>
      </c>
      <c r="T333" s="569" t="s">
        <v>273</v>
      </c>
      <c r="U333" s="569" t="s">
        <v>274</v>
      </c>
      <c r="V333" s="569" t="s">
        <v>275</v>
      </c>
      <c r="W333" s="569" t="s">
        <v>276</v>
      </c>
      <c r="X333" s="569" t="s">
        <v>277</v>
      </c>
      <c r="Y333" s="569" t="s">
        <v>278</v>
      </c>
      <c r="Z333" s="569" t="s">
        <v>279</v>
      </c>
      <c r="AA333" s="569" t="s">
        <v>280</v>
      </c>
      <c r="AB333" s="569" t="s">
        <v>281</v>
      </c>
      <c r="AC333" s="620" t="s">
        <v>258</v>
      </c>
      <c r="AD333" s="620" t="s">
        <v>13</v>
      </c>
      <c r="AE333" s="569" t="s">
        <v>166</v>
      </c>
      <c r="AF333" s="620" t="s">
        <v>259</v>
      </c>
      <c r="AG333" s="621" t="s">
        <v>260</v>
      </c>
      <c r="AH333" s="622" t="s">
        <v>261</v>
      </c>
      <c r="AI333" s="621" t="s">
        <v>262</v>
      </c>
      <c r="AJ333" s="623" t="s">
        <v>263</v>
      </c>
    </row>
    <row r="334" spans="1:37" x14ac:dyDescent="0.2">
      <c r="A334" s="190" t="s">
        <v>24</v>
      </c>
      <c r="B334" s="571" t="s">
        <v>24</v>
      </c>
      <c r="C334" s="179" t="s">
        <v>25</v>
      </c>
      <c r="D334" s="179" t="s">
        <v>26</v>
      </c>
      <c r="E334" s="179" t="s">
        <v>27</v>
      </c>
      <c r="F334" s="179" t="s">
        <v>28</v>
      </c>
      <c r="G334" s="179" t="s">
        <v>29</v>
      </c>
      <c r="H334" s="179" t="s">
        <v>30</v>
      </c>
      <c r="I334" s="179" t="s">
        <v>31</v>
      </c>
      <c r="J334" s="179" t="s">
        <v>32</v>
      </c>
      <c r="K334" s="179" t="s">
        <v>33</v>
      </c>
      <c r="L334" s="179" t="s">
        <v>34</v>
      </c>
      <c r="M334" s="179" t="s">
        <v>24</v>
      </c>
      <c r="N334" s="585" t="s">
        <v>24</v>
      </c>
      <c r="O334" s="179" t="s">
        <v>451</v>
      </c>
      <c r="P334" s="179" t="s">
        <v>34</v>
      </c>
      <c r="Q334" s="179" t="s">
        <v>452</v>
      </c>
      <c r="R334" s="179" t="s">
        <v>453</v>
      </c>
      <c r="S334" s="179" t="s">
        <v>454</v>
      </c>
      <c r="T334" s="179" t="s">
        <v>455</v>
      </c>
      <c r="U334" s="179" t="s">
        <v>456</v>
      </c>
      <c r="V334" s="179" t="s">
        <v>457</v>
      </c>
      <c r="W334" s="179" t="s">
        <v>458</v>
      </c>
      <c r="X334" s="179" t="s">
        <v>459</v>
      </c>
      <c r="Y334" s="179" t="s">
        <v>460</v>
      </c>
      <c r="Z334" s="179" t="s">
        <v>461</v>
      </c>
      <c r="AA334" s="179" t="s">
        <v>462</v>
      </c>
      <c r="AB334" s="179" t="s">
        <v>463</v>
      </c>
      <c r="AC334" s="180"/>
      <c r="AD334" s="180">
        <v>0</v>
      </c>
      <c r="AE334" s="179">
        <v>60</v>
      </c>
      <c r="AF334" s="179">
        <v>60</v>
      </c>
      <c r="AG334" s="225">
        <v>65</v>
      </c>
      <c r="AH334" s="225">
        <v>65</v>
      </c>
      <c r="AI334" s="225">
        <v>75</v>
      </c>
      <c r="AJ334" s="624">
        <v>75</v>
      </c>
    </row>
    <row r="335" spans="1:37" ht="13.5" thickBot="1" x14ac:dyDescent="0.25">
      <c r="A335" s="190" t="s">
        <v>24</v>
      </c>
      <c r="B335" s="571" t="s">
        <v>24</v>
      </c>
      <c r="C335" s="574" t="s">
        <v>24</v>
      </c>
      <c r="D335" s="574" t="s">
        <v>24</v>
      </c>
      <c r="E335" s="574" t="s">
        <v>24</v>
      </c>
      <c r="F335" s="574" t="s">
        <v>24</v>
      </c>
      <c r="G335" s="574" t="s">
        <v>24</v>
      </c>
      <c r="H335" s="574" t="s">
        <v>24</v>
      </c>
      <c r="I335" s="574" t="s">
        <v>24</v>
      </c>
      <c r="J335" s="574" t="s">
        <v>24</v>
      </c>
      <c r="K335" s="574" t="s">
        <v>24</v>
      </c>
      <c r="L335" s="574" t="s">
        <v>24</v>
      </c>
      <c r="M335" s="574" t="s">
        <v>24</v>
      </c>
      <c r="N335" s="586" t="s">
        <v>24</v>
      </c>
      <c r="O335" s="574" t="s">
        <v>34</v>
      </c>
      <c r="P335" s="574" t="s">
        <v>452</v>
      </c>
      <c r="Q335" s="574" t="s">
        <v>453</v>
      </c>
      <c r="R335" s="574" t="s">
        <v>454</v>
      </c>
      <c r="S335" s="574" t="s">
        <v>455</v>
      </c>
      <c r="T335" s="574" t="s">
        <v>456</v>
      </c>
      <c r="U335" s="574" t="s">
        <v>457</v>
      </c>
      <c r="V335" s="574" t="s">
        <v>458</v>
      </c>
      <c r="W335" s="574" t="s">
        <v>459</v>
      </c>
      <c r="X335" s="574" t="s">
        <v>460</v>
      </c>
      <c r="Y335" s="574" t="s">
        <v>461</v>
      </c>
      <c r="Z335" s="574" t="s">
        <v>462</v>
      </c>
      <c r="AA335" s="574" t="s">
        <v>463</v>
      </c>
      <c r="AB335" s="574" t="s">
        <v>464</v>
      </c>
      <c r="AC335" s="625"/>
      <c r="AD335" s="625"/>
      <c r="AE335" s="574"/>
      <c r="AF335" s="625"/>
      <c r="AG335" s="626" t="s">
        <v>35</v>
      </c>
      <c r="AH335" s="627" t="s">
        <v>35</v>
      </c>
      <c r="AI335" s="626" t="s">
        <v>36</v>
      </c>
      <c r="AJ335" s="628" t="s">
        <v>36</v>
      </c>
    </row>
    <row r="336" spans="1:37" ht="13.5" thickBot="1" x14ac:dyDescent="0.25">
      <c r="A336" s="190" t="s">
        <v>37</v>
      </c>
      <c r="B336" s="691">
        <v>1</v>
      </c>
      <c r="C336" s="652">
        <v>0</v>
      </c>
      <c r="D336" s="639">
        <v>1</v>
      </c>
      <c r="E336" s="639">
        <v>0</v>
      </c>
      <c r="F336" s="639">
        <v>0</v>
      </c>
      <c r="G336" s="639">
        <v>0</v>
      </c>
      <c r="H336" s="639">
        <v>0</v>
      </c>
      <c r="I336" s="639">
        <v>0</v>
      </c>
      <c r="J336" s="639">
        <v>0</v>
      </c>
      <c r="K336" s="639">
        <v>0</v>
      </c>
      <c r="L336" s="639">
        <v>0</v>
      </c>
      <c r="M336" s="671" t="s">
        <v>24</v>
      </c>
      <c r="N336" s="584" t="s">
        <v>37</v>
      </c>
      <c r="O336" s="652">
        <v>0</v>
      </c>
      <c r="P336" s="639">
        <v>0</v>
      </c>
      <c r="Q336" s="639">
        <v>0</v>
      </c>
      <c r="R336" s="639">
        <v>0</v>
      </c>
      <c r="S336" s="639">
        <v>0</v>
      </c>
      <c r="T336" s="639">
        <v>0</v>
      </c>
      <c r="U336" s="639">
        <v>0</v>
      </c>
      <c r="V336" s="639">
        <v>1</v>
      </c>
      <c r="W336" s="639">
        <v>0</v>
      </c>
      <c r="X336" s="639">
        <v>0</v>
      </c>
      <c r="Y336" s="639">
        <v>0</v>
      </c>
      <c r="Z336" s="639">
        <v>0</v>
      </c>
      <c r="AA336" s="639">
        <v>0</v>
      </c>
      <c r="AB336" s="639">
        <v>0</v>
      </c>
      <c r="AC336" s="640">
        <v>40.5</v>
      </c>
      <c r="AD336" s="640" t="s">
        <v>24</v>
      </c>
      <c r="AE336" s="639">
        <v>0</v>
      </c>
      <c r="AF336" s="640">
        <v>0</v>
      </c>
      <c r="AG336" s="639">
        <v>0</v>
      </c>
      <c r="AH336" s="640">
        <v>0</v>
      </c>
      <c r="AI336" s="639">
        <v>0</v>
      </c>
      <c r="AJ336" s="641">
        <v>0</v>
      </c>
    </row>
    <row r="337" spans="1:36" x14ac:dyDescent="0.2">
      <c r="A337" s="190" t="s">
        <v>38</v>
      </c>
      <c r="B337" s="646">
        <v>0</v>
      </c>
      <c r="C337" s="184">
        <v>0</v>
      </c>
      <c r="D337" s="184">
        <v>0</v>
      </c>
      <c r="E337" s="184">
        <v>0</v>
      </c>
      <c r="F337" s="184">
        <v>0</v>
      </c>
      <c r="G337" s="184">
        <v>0</v>
      </c>
      <c r="H337" s="184">
        <v>0</v>
      </c>
      <c r="I337" s="184">
        <v>0</v>
      </c>
      <c r="J337" s="184">
        <v>0</v>
      </c>
      <c r="K337" s="184">
        <v>0</v>
      </c>
      <c r="L337" s="184">
        <v>0</v>
      </c>
      <c r="M337" s="616" t="s">
        <v>24</v>
      </c>
      <c r="N337" s="585" t="s">
        <v>38</v>
      </c>
      <c r="O337" s="191">
        <v>0</v>
      </c>
      <c r="P337" s="184">
        <v>0</v>
      </c>
      <c r="Q337" s="184">
        <v>0</v>
      </c>
      <c r="R337" s="184">
        <v>0</v>
      </c>
      <c r="S337" s="184">
        <v>0</v>
      </c>
      <c r="T337" s="184">
        <v>0</v>
      </c>
      <c r="U337" s="184">
        <v>0</v>
      </c>
      <c r="V337" s="184">
        <v>0</v>
      </c>
      <c r="W337" s="184">
        <v>0</v>
      </c>
      <c r="X337" s="184">
        <v>0</v>
      </c>
      <c r="Y337" s="184">
        <v>0</v>
      </c>
      <c r="Z337" s="184">
        <v>0</v>
      </c>
      <c r="AA337" s="184">
        <v>0</v>
      </c>
      <c r="AB337" s="184">
        <v>0</v>
      </c>
      <c r="AC337" s="185" t="s">
        <v>24</v>
      </c>
      <c r="AD337" s="185" t="s">
        <v>24</v>
      </c>
      <c r="AE337" s="184">
        <v>0</v>
      </c>
      <c r="AF337" s="185">
        <v>0</v>
      </c>
      <c r="AG337" s="184">
        <v>0</v>
      </c>
      <c r="AH337" s="185">
        <v>0</v>
      </c>
      <c r="AI337" s="184">
        <v>0</v>
      </c>
      <c r="AJ337" s="643">
        <v>0</v>
      </c>
    </row>
    <row r="338" spans="1:36" x14ac:dyDescent="0.2">
      <c r="A338" s="190" t="s">
        <v>40</v>
      </c>
      <c r="B338" s="642">
        <v>1</v>
      </c>
      <c r="C338" s="184">
        <v>0</v>
      </c>
      <c r="D338" s="184">
        <v>1</v>
      </c>
      <c r="E338" s="184">
        <v>0</v>
      </c>
      <c r="F338" s="184">
        <v>0</v>
      </c>
      <c r="G338" s="184">
        <v>0</v>
      </c>
      <c r="H338" s="184">
        <v>0</v>
      </c>
      <c r="I338" s="184">
        <v>0</v>
      </c>
      <c r="J338" s="184">
        <v>0</v>
      </c>
      <c r="K338" s="184">
        <v>0</v>
      </c>
      <c r="L338" s="184">
        <v>0</v>
      </c>
      <c r="M338" s="616" t="s">
        <v>24</v>
      </c>
      <c r="N338" s="585" t="s">
        <v>40</v>
      </c>
      <c r="O338" s="191">
        <v>0</v>
      </c>
      <c r="P338" s="184">
        <v>0</v>
      </c>
      <c r="Q338" s="184">
        <v>0</v>
      </c>
      <c r="R338" s="184">
        <v>0</v>
      </c>
      <c r="S338" s="184">
        <v>0</v>
      </c>
      <c r="T338" s="184">
        <v>0</v>
      </c>
      <c r="U338" s="184">
        <v>0</v>
      </c>
      <c r="V338" s="184">
        <v>0</v>
      </c>
      <c r="W338" s="184">
        <v>0</v>
      </c>
      <c r="X338" s="184">
        <v>1</v>
      </c>
      <c r="Y338" s="184">
        <v>0</v>
      </c>
      <c r="Z338" s="184">
        <v>0</v>
      </c>
      <c r="AA338" s="184">
        <v>0</v>
      </c>
      <c r="AB338" s="184">
        <v>0</v>
      </c>
      <c r="AC338" s="185">
        <v>50.7</v>
      </c>
      <c r="AD338" s="185" t="s">
        <v>24</v>
      </c>
      <c r="AE338" s="184">
        <v>0</v>
      </c>
      <c r="AF338" s="185">
        <v>0</v>
      </c>
      <c r="AG338" s="184">
        <v>0</v>
      </c>
      <c r="AH338" s="185">
        <v>0</v>
      </c>
      <c r="AI338" s="184">
        <v>0</v>
      </c>
      <c r="AJ338" s="643">
        <v>0</v>
      </c>
    </row>
    <row r="339" spans="1:36" x14ac:dyDescent="0.2">
      <c r="A339" s="190" t="s">
        <v>42</v>
      </c>
      <c r="B339" s="642">
        <v>0</v>
      </c>
      <c r="C339" s="184">
        <v>0</v>
      </c>
      <c r="D339" s="184">
        <v>0</v>
      </c>
      <c r="E339" s="184">
        <v>0</v>
      </c>
      <c r="F339" s="184">
        <v>0</v>
      </c>
      <c r="G339" s="184">
        <v>0</v>
      </c>
      <c r="H339" s="184">
        <v>0</v>
      </c>
      <c r="I339" s="184">
        <v>0</v>
      </c>
      <c r="J339" s="184">
        <v>0</v>
      </c>
      <c r="K339" s="184">
        <v>0</v>
      </c>
      <c r="L339" s="184">
        <v>0</v>
      </c>
      <c r="M339" s="616" t="s">
        <v>24</v>
      </c>
      <c r="N339" s="585" t="s">
        <v>42</v>
      </c>
      <c r="O339" s="191">
        <v>0</v>
      </c>
      <c r="P339" s="184">
        <v>0</v>
      </c>
      <c r="Q339" s="184">
        <v>0</v>
      </c>
      <c r="R339" s="184">
        <v>0</v>
      </c>
      <c r="S339" s="184">
        <v>0</v>
      </c>
      <c r="T339" s="184">
        <v>0</v>
      </c>
      <c r="U339" s="184">
        <v>0</v>
      </c>
      <c r="V339" s="184">
        <v>0</v>
      </c>
      <c r="W339" s="184">
        <v>0</v>
      </c>
      <c r="X339" s="184">
        <v>0</v>
      </c>
      <c r="Y339" s="184">
        <v>0</v>
      </c>
      <c r="Z339" s="184">
        <v>0</v>
      </c>
      <c r="AA339" s="184">
        <v>0</v>
      </c>
      <c r="AB339" s="184">
        <v>0</v>
      </c>
      <c r="AC339" s="185" t="s">
        <v>24</v>
      </c>
      <c r="AD339" s="185" t="s">
        <v>24</v>
      </c>
      <c r="AE339" s="184">
        <v>0</v>
      </c>
      <c r="AF339" s="185">
        <v>0</v>
      </c>
      <c r="AG339" s="184">
        <v>0</v>
      </c>
      <c r="AH339" s="185">
        <v>0</v>
      </c>
      <c r="AI339" s="184">
        <v>0</v>
      </c>
      <c r="AJ339" s="643">
        <v>0</v>
      </c>
    </row>
    <row r="340" spans="1:36" x14ac:dyDescent="0.2">
      <c r="A340" s="190" t="s">
        <v>39</v>
      </c>
      <c r="B340" s="642">
        <v>1</v>
      </c>
      <c r="C340" s="184">
        <v>0</v>
      </c>
      <c r="D340" s="184">
        <v>1</v>
      </c>
      <c r="E340" s="184">
        <v>0</v>
      </c>
      <c r="F340" s="184">
        <v>0</v>
      </c>
      <c r="G340" s="184">
        <v>0</v>
      </c>
      <c r="H340" s="184">
        <v>0</v>
      </c>
      <c r="I340" s="184">
        <v>0</v>
      </c>
      <c r="J340" s="184">
        <v>0</v>
      </c>
      <c r="K340" s="184">
        <v>0</v>
      </c>
      <c r="L340" s="184">
        <v>0</v>
      </c>
      <c r="M340" s="616" t="s">
        <v>24</v>
      </c>
      <c r="N340" s="585" t="s">
        <v>39</v>
      </c>
      <c r="O340" s="191">
        <v>0</v>
      </c>
      <c r="P340" s="184">
        <v>0</v>
      </c>
      <c r="Q340" s="184">
        <v>0</v>
      </c>
      <c r="R340" s="184">
        <v>0</v>
      </c>
      <c r="S340" s="184">
        <v>0</v>
      </c>
      <c r="T340" s="184">
        <v>0</v>
      </c>
      <c r="U340" s="184">
        <v>0</v>
      </c>
      <c r="V340" s="184">
        <v>0</v>
      </c>
      <c r="W340" s="184">
        <v>0</v>
      </c>
      <c r="X340" s="184">
        <v>1</v>
      </c>
      <c r="Y340" s="184">
        <v>0</v>
      </c>
      <c r="Z340" s="184">
        <v>0</v>
      </c>
      <c r="AA340" s="184">
        <v>0</v>
      </c>
      <c r="AB340" s="184">
        <v>0</v>
      </c>
      <c r="AC340" s="185">
        <v>50.6</v>
      </c>
      <c r="AD340" s="185" t="s">
        <v>24</v>
      </c>
      <c r="AE340" s="184">
        <v>0</v>
      </c>
      <c r="AF340" s="185">
        <v>0</v>
      </c>
      <c r="AG340" s="184">
        <v>0</v>
      </c>
      <c r="AH340" s="185">
        <v>0</v>
      </c>
      <c r="AI340" s="184">
        <v>0</v>
      </c>
      <c r="AJ340" s="643">
        <v>0</v>
      </c>
    </row>
    <row r="341" spans="1:36" x14ac:dyDescent="0.2">
      <c r="A341" s="190" t="s">
        <v>45</v>
      </c>
      <c r="B341" s="642">
        <v>0</v>
      </c>
      <c r="C341" s="184">
        <v>0</v>
      </c>
      <c r="D341" s="184">
        <v>0</v>
      </c>
      <c r="E341" s="184">
        <v>0</v>
      </c>
      <c r="F341" s="184">
        <v>0</v>
      </c>
      <c r="G341" s="184">
        <v>0</v>
      </c>
      <c r="H341" s="184">
        <v>0</v>
      </c>
      <c r="I341" s="184">
        <v>0</v>
      </c>
      <c r="J341" s="184">
        <v>0</v>
      </c>
      <c r="K341" s="184">
        <v>0</v>
      </c>
      <c r="L341" s="184">
        <v>0</v>
      </c>
      <c r="M341" s="616" t="s">
        <v>24</v>
      </c>
      <c r="N341" s="585" t="s">
        <v>45</v>
      </c>
      <c r="O341" s="191">
        <v>0</v>
      </c>
      <c r="P341" s="184">
        <v>0</v>
      </c>
      <c r="Q341" s="184">
        <v>0</v>
      </c>
      <c r="R341" s="184">
        <v>0</v>
      </c>
      <c r="S341" s="184">
        <v>0</v>
      </c>
      <c r="T341" s="184">
        <v>0</v>
      </c>
      <c r="U341" s="184">
        <v>0</v>
      </c>
      <c r="V341" s="184">
        <v>0</v>
      </c>
      <c r="W341" s="184">
        <v>0</v>
      </c>
      <c r="X341" s="184">
        <v>0</v>
      </c>
      <c r="Y341" s="184">
        <v>0</v>
      </c>
      <c r="Z341" s="184">
        <v>0</v>
      </c>
      <c r="AA341" s="184">
        <v>0</v>
      </c>
      <c r="AB341" s="184">
        <v>0</v>
      </c>
      <c r="AC341" s="185" t="s">
        <v>24</v>
      </c>
      <c r="AD341" s="185" t="s">
        <v>24</v>
      </c>
      <c r="AE341" s="184">
        <v>0</v>
      </c>
      <c r="AF341" s="185">
        <v>0</v>
      </c>
      <c r="AG341" s="184">
        <v>0</v>
      </c>
      <c r="AH341" s="185">
        <v>0</v>
      </c>
      <c r="AI341" s="184">
        <v>0</v>
      </c>
      <c r="AJ341" s="643">
        <v>0</v>
      </c>
    </row>
    <row r="342" spans="1:36" x14ac:dyDescent="0.2">
      <c r="A342" s="190" t="s">
        <v>47</v>
      </c>
      <c r="B342" s="642">
        <v>0</v>
      </c>
      <c r="C342" s="184">
        <v>0</v>
      </c>
      <c r="D342" s="184">
        <v>0</v>
      </c>
      <c r="E342" s="184">
        <v>0</v>
      </c>
      <c r="F342" s="184">
        <v>0</v>
      </c>
      <c r="G342" s="184">
        <v>0</v>
      </c>
      <c r="H342" s="184">
        <v>0</v>
      </c>
      <c r="I342" s="184">
        <v>0</v>
      </c>
      <c r="J342" s="184">
        <v>0</v>
      </c>
      <c r="K342" s="184">
        <v>0</v>
      </c>
      <c r="L342" s="184">
        <v>0</v>
      </c>
      <c r="M342" s="616" t="s">
        <v>24</v>
      </c>
      <c r="N342" s="585" t="s">
        <v>47</v>
      </c>
      <c r="O342" s="191">
        <v>0</v>
      </c>
      <c r="P342" s="184">
        <v>0</v>
      </c>
      <c r="Q342" s="184">
        <v>0</v>
      </c>
      <c r="R342" s="184">
        <v>0</v>
      </c>
      <c r="S342" s="184">
        <v>0</v>
      </c>
      <c r="T342" s="184">
        <v>0</v>
      </c>
      <c r="U342" s="184">
        <v>0</v>
      </c>
      <c r="V342" s="184">
        <v>0</v>
      </c>
      <c r="W342" s="184">
        <v>0</v>
      </c>
      <c r="X342" s="184">
        <v>0</v>
      </c>
      <c r="Y342" s="184">
        <v>0</v>
      </c>
      <c r="Z342" s="184">
        <v>0</v>
      </c>
      <c r="AA342" s="184">
        <v>0</v>
      </c>
      <c r="AB342" s="184">
        <v>0</v>
      </c>
      <c r="AC342" s="185" t="s">
        <v>24</v>
      </c>
      <c r="AD342" s="185" t="s">
        <v>24</v>
      </c>
      <c r="AE342" s="184">
        <v>0</v>
      </c>
      <c r="AF342" s="185">
        <v>0</v>
      </c>
      <c r="AG342" s="184">
        <v>0</v>
      </c>
      <c r="AH342" s="185">
        <v>0</v>
      </c>
      <c r="AI342" s="184">
        <v>0</v>
      </c>
      <c r="AJ342" s="643">
        <v>0</v>
      </c>
    </row>
    <row r="343" spans="1:36" x14ac:dyDescent="0.2">
      <c r="A343" s="190" t="s">
        <v>49</v>
      </c>
      <c r="B343" s="642">
        <v>0</v>
      </c>
      <c r="C343" s="184">
        <v>0</v>
      </c>
      <c r="D343" s="184">
        <v>0</v>
      </c>
      <c r="E343" s="184">
        <v>0</v>
      </c>
      <c r="F343" s="184">
        <v>0</v>
      </c>
      <c r="G343" s="184">
        <v>0</v>
      </c>
      <c r="H343" s="184">
        <v>0</v>
      </c>
      <c r="I343" s="184">
        <v>0</v>
      </c>
      <c r="J343" s="184">
        <v>0</v>
      </c>
      <c r="K343" s="184">
        <v>0</v>
      </c>
      <c r="L343" s="184">
        <v>0</v>
      </c>
      <c r="M343" s="616" t="s">
        <v>24</v>
      </c>
      <c r="N343" s="585" t="s">
        <v>49</v>
      </c>
      <c r="O343" s="191">
        <v>0</v>
      </c>
      <c r="P343" s="184">
        <v>0</v>
      </c>
      <c r="Q343" s="184">
        <v>0</v>
      </c>
      <c r="R343" s="184">
        <v>0</v>
      </c>
      <c r="S343" s="184">
        <v>0</v>
      </c>
      <c r="T343" s="184">
        <v>0</v>
      </c>
      <c r="U343" s="184">
        <v>0</v>
      </c>
      <c r="V343" s="184">
        <v>0</v>
      </c>
      <c r="W343" s="184">
        <v>0</v>
      </c>
      <c r="X343" s="184">
        <v>0</v>
      </c>
      <c r="Y343" s="184">
        <v>0</v>
      </c>
      <c r="Z343" s="184">
        <v>0</v>
      </c>
      <c r="AA343" s="184">
        <v>0</v>
      </c>
      <c r="AB343" s="184">
        <v>0</v>
      </c>
      <c r="AC343" s="185" t="s">
        <v>24</v>
      </c>
      <c r="AD343" s="185" t="s">
        <v>24</v>
      </c>
      <c r="AE343" s="184">
        <v>0</v>
      </c>
      <c r="AF343" s="185">
        <v>0</v>
      </c>
      <c r="AG343" s="184">
        <v>0</v>
      </c>
      <c r="AH343" s="185">
        <v>0</v>
      </c>
      <c r="AI343" s="184">
        <v>0</v>
      </c>
      <c r="AJ343" s="643">
        <v>0</v>
      </c>
    </row>
    <row r="344" spans="1:36" x14ac:dyDescent="0.2">
      <c r="A344" s="190" t="s">
        <v>41</v>
      </c>
      <c r="B344" s="642">
        <v>0</v>
      </c>
      <c r="C344" s="184">
        <v>0</v>
      </c>
      <c r="D344" s="184">
        <v>0</v>
      </c>
      <c r="E344" s="184">
        <v>0</v>
      </c>
      <c r="F344" s="184">
        <v>0</v>
      </c>
      <c r="G344" s="184">
        <v>0</v>
      </c>
      <c r="H344" s="184">
        <v>0</v>
      </c>
      <c r="I344" s="184">
        <v>0</v>
      </c>
      <c r="J344" s="184">
        <v>0</v>
      </c>
      <c r="K344" s="184">
        <v>0</v>
      </c>
      <c r="L344" s="184">
        <v>0</v>
      </c>
      <c r="M344" s="616" t="s">
        <v>24</v>
      </c>
      <c r="N344" s="585" t="s">
        <v>41</v>
      </c>
      <c r="O344" s="191">
        <v>0</v>
      </c>
      <c r="P344" s="184">
        <v>0</v>
      </c>
      <c r="Q344" s="184">
        <v>0</v>
      </c>
      <c r="R344" s="184">
        <v>0</v>
      </c>
      <c r="S344" s="184">
        <v>0</v>
      </c>
      <c r="T344" s="184">
        <v>0</v>
      </c>
      <c r="U344" s="184">
        <v>0</v>
      </c>
      <c r="V344" s="184">
        <v>0</v>
      </c>
      <c r="W344" s="184">
        <v>0</v>
      </c>
      <c r="X344" s="184">
        <v>0</v>
      </c>
      <c r="Y344" s="184">
        <v>0</v>
      </c>
      <c r="Z344" s="184">
        <v>0</v>
      </c>
      <c r="AA344" s="184">
        <v>0</v>
      </c>
      <c r="AB344" s="184">
        <v>0</v>
      </c>
      <c r="AC344" s="185" t="s">
        <v>24</v>
      </c>
      <c r="AD344" s="185" t="s">
        <v>24</v>
      </c>
      <c r="AE344" s="184">
        <v>0</v>
      </c>
      <c r="AF344" s="185">
        <v>0</v>
      </c>
      <c r="AG344" s="184">
        <v>0</v>
      </c>
      <c r="AH344" s="185">
        <v>0</v>
      </c>
      <c r="AI344" s="184">
        <v>0</v>
      </c>
      <c r="AJ344" s="643">
        <v>0</v>
      </c>
    </row>
    <row r="345" spans="1:36" x14ac:dyDescent="0.2">
      <c r="A345" s="190" t="s">
        <v>52</v>
      </c>
      <c r="B345" s="642">
        <v>0</v>
      </c>
      <c r="C345" s="184">
        <v>0</v>
      </c>
      <c r="D345" s="184">
        <v>0</v>
      </c>
      <c r="E345" s="184">
        <v>0</v>
      </c>
      <c r="F345" s="184">
        <v>0</v>
      </c>
      <c r="G345" s="184">
        <v>0</v>
      </c>
      <c r="H345" s="184">
        <v>0</v>
      </c>
      <c r="I345" s="184">
        <v>0</v>
      </c>
      <c r="J345" s="184">
        <v>0</v>
      </c>
      <c r="K345" s="184">
        <v>0</v>
      </c>
      <c r="L345" s="184">
        <v>0</v>
      </c>
      <c r="M345" s="616" t="s">
        <v>24</v>
      </c>
      <c r="N345" s="585" t="s">
        <v>52</v>
      </c>
      <c r="O345" s="191">
        <v>0</v>
      </c>
      <c r="P345" s="184">
        <v>0</v>
      </c>
      <c r="Q345" s="184">
        <v>0</v>
      </c>
      <c r="R345" s="184">
        <v>0</v>
      </c>
      <c r="S345" s="184">
        <v>0</v>
      </c>
      <c r="T345" s="184">
        <v>0</v>
      </c>
      <c r="U345" s="184">
        <v>0</v>
      </c>
      <c r="V345" s="184">
        <v>0</v>
      </c>
      <c r="W345" s="184">
        <v>0</v>
      </c>
      <c r="X345" s="184">
        <v>0</v>
      </c>
      <c r="Y345" s="184">
        <v>0</v>
      </c>
      <c r="Z345" s="184">
        <v>0</v>
      </c>
      <c r="AA345" s="184">
        <v>0</v>
      </c>
      <c r="AB345" s="184">
        <v>0</v>
      </c>
      <c r="AC345" s="185" t="s">
        <v>24</v>
      </c>
      <c r="AD345" s="185" t="s">
        <v>24</v>
      </c>
      <c r="AE345" s="184">
        <v>0</v>
      </c>
      <c r="AF345" s="185">
        <v>0</v>
      </c>
      <c r="AG345" s="184">
        <v>0</v>
      </c>
      <c r="AH345" s="185">
        <v>0</v>
      </c>
      <c r="AI345" s="184">
        <v>0</v>
      </c>
      <c r="AJ345" s="643">
        <v>0</v>
      </c>
    </row>
    <row r="346" spans="1:36" x14ac:dyDescent="0.2">
      <c r="A346" s="190" t="s">
        <v>54</v>
      </c>
      <c r="B346" s="642">
        <v>1</v>
      </c>
      <c r="C346" s="184">
        <v>0</v>
      </c>
      <c r="D346" s="184">
        <v>1</v>
      </c>
      <c r="E346" s="184">
        <v>0</v>
      </c>
      <c r="F346" s="184">
        <v>0</v>
      </c>
      <c r="G346" s="184">
        <v>0</v>
      </c>
      <c r="H346" s="184">
        <v>0</v>
      </c>
      <c r="I346" s="184">
        <v>0</v>
      </c>
      <c r="J346" s="184">
        <v>0</v>
      </c>
      <c r="K346" s="184">
        <v>0</v>
      </c>
      <c r="L346" s="184">
        <v>0</v>
      </c>
      <c r="M346" s="616" t="s">
        <v>24</v>
      </c>
      <c r="N346" s="585" t="s">
        <v>54</v>
      </c>
      <c r="O346" s="191">
        <v>0</v>
      </c>
      <c r="P346" s="184">
        <v>0</v>
      </c>
      <c r="Q346" s="184">
        <v>0</v>
      </c>
      <c r="R346" s="184">
        <v>0</v>
      </c>
      <c r="S346" s="184">
        <v>0</v>
      </c>
      <c r="T346" s="184">
        <v>0</v>
      </c>
      <c r="U346" s="184">
        <v>1</v>
      </c>
      <c r="V346" s="184">
        <v>0</v>
      </c>
      <c r="W346" s="184">
        <v>0</v>
      </c>
      <c r="X346" s="184">
        <v>0</v>
      </c>
      <c r="Y346" s="184">
        <v>0</v>
      </c>
      <c r="Z346" s="184">
        <v>0</v>
      </c>
      <c r="AA346" s="184">
        <v>0</v>
      </c>
      <c r="AB346" s="184">
        <v>0</v>
      </c>
      <c r="AC346" s="185">
        <v>38.5</v>
      </c>
      <c r="AD346" s="185" t="s">
        <v>24</v>
      </c>
      <c r="AE346" s="184">
        <v>0</v>
      </c>
      <c r="AF346" s="185">
        <v>0</v>
      </c>
      <c r="AG346" s="184">
        <v>0</v>
      </c>
      <c r="AH346" s="185">
        <v>0</v>
      </c>
      <c r="AI346" s="184">
        <v>0</v>
      </c>
      <c r="AJ346" s="643">
        <v>0</v>
      </c>
    </row>
    <row r="347" spans="1:36" x14ac:dyDescent="0.2">
      <c r="A347" s="190" t="s">
        <v>56</v>
      </c>
      <c r="B347" s="642">
        <v>0</v>
      </c>
      <c r="C347" s="184">
        <v>0</v>
      </c>
      <c r="D347" s="184">
        <v>0</v>
      </c>
      <c r="E347" s="184">
        <v>0</v>
      </c>
      <c r="F347" s="184">
        <v>0</v>
      </c>
      <c r="G347" s="184">
        <v>0</v>
      </c>
      <c r="H347" s="184">
        <v>0</v>
      </c>
      <c r="I347" s="184">
        <v>0</v>
      </c>
      <c r="J347" s="184">
        <v>0</v>
      </c>
      <c r="K347" s="184">
        <v>0</v>
      </c>
      <c r="L347" s="184">
        <v>0</v>
      </c>
      <c r="M347" s="616" t="s">
        <v>24</v>
      </c>
      <c r="N347" s="585" t="s">
        <v>56</v>
      </c>
      <c r="O347" s="191">
        <v>0</v>
      </c>
      <c r="P347" s="184">
        <v>0</v>
      </c>
      <c r="Q347" s="184">
        <v>0</v>
      </c>
      <c r="R347" s="184">
        <v>0</v>
      </c>
      <c r="S347" s="184">
        <v>0</v>
      </c>
      <c r="T347" s="184">
        <v>0</v>
      </c>
      <c r="U347" s="184">
        <v>0</v>
      </c>
      <c r="V347" s="184">
        <v>0</v>
      </c>
      <c r="W347" s="184">
        <v>0</v>
      </c>
      <c r="X347" s="184">
        <v>0</v>
      </c>
      <c r="Y347" s="184">
        <v>0</v>
      </c>
      <c r="Z347" s="184">
        <v>0</v>
      </c>
      <c r="AA347" s="184">
        <v>0</v>
      </c>
      <c r="AB347" s="184">
        <v>0</v>
      </c>
      <c r="AC347" s="185" t="s">
        <v>24</v>
      </c>
      <c r="AD347" s="185" t="s">
        <v>24</v>
      </c>
      <c r="AE347" s="184">
        <v>0</v>
      </c>
      <c r="AF347" s="185">
        <v>0</v>
      </c>
      <c r="AG347" s="184">
        <v>0</v>
      </c>
      <c r="AH347" s="185">
        <v>0</v>
      </c>
      <c r="AI347" s="184">
        <v>0</v>
      </c>
      <c r="AJ347" s="643">
        <v>0</v>
      </c>
    </row>
    <row r="348" spans="1:36" x14ac:dyDescent="0.2">
      <c r="A348" s="190" t="s">
        <v>43</v>
      </c>
      <c r="B348" s="642">
        <v>0</v>
      </c>
      <c r="C348" s="184">
        <v>0</v>
      </c>
      <c r="D348" s="184">
        <v>0</v>
      </c>
      <c r="E348" s="184">
        <v>0</v>
      </c>
      <c r="F348" s="184">
        <v>0</v>
      </c>
      <c r="G348" s="184">
        <v>0</v>
      </c>
      <c r="H348" s="184">
        <v>0</v>
      </c>
      <c r="I348" s="184">
        <v>0</v>
      </c>
      <c r="J348" s="184">
        <v>0</v>
      </c>
      <c r="K348" s="184">
        <v>0</v>
      </c>
      <c r="L348" s="184">
        <v>0</v>
      </c>
      <c r="M348" s="616" t="s">
        <v>24</v>
      </c>
      <c r="N348" s="585" t="s">
        <v>43</v>
      </c>
      <c r="O348" s="191">
        <v>0</v>
      </c>
      <c r="P348" s="184">
        <v>0</v>
      </c>
      <c r="Q348" s="184">
        <v>0</v>
      </c>
      <c r="R348" s="184">
        <v>0</v>
      </c>
      <c r="S348" s="184">
        <v>0</v>
      </c>
      <c r="T348" s="184">
        <v>0</v>
      </c>
      <c r="U348" s="184">
        <v>0</v>
      </c>
      <c r="V348" s="184">
        <v>0</v>
      </c>
      <c r="W348" s="184">
        <v>0</v>
      </c>
      <c r="X348" s="184">
        <v>0</v>
      </c>
      <c r="Y348" s="184">
        <v>0</v>
      </c>
      <c r="Z348" s="184">
        <v>0</v>
      </c>
      <c r="AA348" s="184">
        <v>0</v>
      </c>
      <c r="AB348" s="184">
        <v>0</v>
      </c>
      <c r="AC348" s="185" t="s">
        <v>24</v>
      </c>
      <c r="AD348" s="185" t="s">
        <v>24</v>
      </c>
      <c r="AE348" s="184">
        <v>0</v>
      </c>
      <c r="AF348" s="185">
        <v>0</v>
      </c>
      <c r="AG348" s="184">
        <v>0</v>
      </c>
      <c r="AH348" s="185">
        <v>0</v>
      </c>
      <c r="AI348" s="184">
        <v>0</v>
      </c>
      <c r="AJ348" s="643">
        <v>0</v>
      </c>
    </row>
    <row r="349" spans="1:36" x14ac:dyDescent="0.2">
      <c r="A349" s="190" t="s">
        <v>59</v>
      </c>
      <c r="B349" s="642">
        <v>1</v>
      </c>
      <c r="C349" s="184">
        <v>0</v>
      </c>
      <c r="D349" s="184">
        <v>1</v>
      </c>
      <c r="E349" s="184">
        <v>0</v>
      </c>
      <c r="F349" s="184">
        <v>0</v>
      </c>
      <c r="G349" s="184">
        <v>0</v>
      </c>
      <c r="H349" s="184">
        <v>0</v>
      </c>
      <c r="I349" s="184">
        <v>0</v>
      </c>
      <c r="J349" s="184">
        <v>0</v>
      </c>
      <c r="K349" s="184">
        <v>0</v>
      </c>
      <c r="L349" s="184">
        <v>0</v>
      </c>
      <c r="M349" s="616" t="s">
        <v>24</v>
      </c>
      <c r="N349" s="585" t="s">
        <v>59</v>
      </c>
      <c r="O349" s="191">
        <v>0</v>
      </c>
      <c r="P349" s="184">
        <v>0</v>
      </c>
      <c r="Q349" s="184">
        <v>0</v>
      </c>
      <c r="R349" s="184">
        <v>0</v>
      </c>
      <c r="S349" s="184">
        <v>0</v>
      </c>
      <c r="T349" s="184">
        <v>0</v>
      </c>
      <c r="U349" s="184">
        <v>0</v>
      </c>
      <c r="V349" s="184">
        <v>1</v>
      </c>
      <c r="W349" s="184">
        <v>0</v>
      </c>
      <c r="X349" s="184">
        <v>0</v>
      </c>
      <c r="Y349" s="184">
        <v>0</v>
      </c>
      <c r="Z349" s="184">
        <v>0</v>
      </c>
      <c r="AA349" s="184">
        <v>0</v>
      </c>
      <c r="AB349" s="184">
        <v>0</v>
      </c>
      <c r="AC349" s="185">
        <v>44</v>
      </c>
      <c r="AD349" s="185" t="s">
        <v>24</v>
      </c>
      <c r="AE349" s="184">
        <v>0</v>
      </c>
      <c r="AF349" s="185">
        <v>0</v>
      </c>
      <c r="AG349" s="184">
        <v>0</v>
      </c>
      <c r="AH349" s="185">
        <v>0</v>
      </c>
      <c r="AI349" s="184">
        <v>0</v>
      </c>
      <c r="AJ349" s="643">
        <v>0</v>
      </c>
    </row>
    <row r="350" spans="1:36" x14ac:dyDescent="0.2">
      <c r="A350" s="190" t="s">
        <v>61</v>
      </c>
      <c r="B350" s="642">
        <v>0</v>
      </c>
      <c r="C350" s="184">
        <v>0</v>
      </c>
      <c r="D350" s="184">
        <v>0</v>
      </c>
      <c r="E350" s="184">
        <v>0</v>
      </c>
      <c r="F350" s="184">
        <v>0</v>
      </c>
      <c r="G350" s="184">
        <v>0</v>
      </c>
      <c r="H350" s="184">
        <v>0</v>
      </c>
      <c r="I350" s="184">
        <v>0</v>
      </c>
      <c r="J350" s="184">
        <v>0</v>
      </c>
      <c r="K350" s="184">
        <v>0</v>
      </c>
      <c r="L350" s="184">
        <v>0</v>
      </c>
      <c r="M350" s="616" t="s">
        <v>24</v>
      </c>
      <c r="N350" s="585" t="s">
        <v>61</v>
      </c>
      <c r="O350" s="191">
        <v>0</v>
      </c>
      <c r="P350" s="184">
        <v>0</v>
      </c>
      <c r="Q350" s="184">
        <v>0</v>
      </c>
      <c r="R350" s="184">
        <v>0</v>
      </c>
      <c r="S350" s="184">
        <v>0</v>
      </c>
      <c r="T350" s="184">
        <v>0</v>
      </c>
      <c r="U350" s="184">
        <v>0</v>
      </c>
      <c r="V350" s="184">
        <v>0</v>
      </c>
      <c r="W350" s="184">
        <v>0</v>
      </c>
      <c r="X350" s="184">
        <v>0</v>
      </c>
      <c r="Y350" s="184">
        <v>0</v>
      </c>
      <c r="Z350" s="184">
        <v>0</v>
      </c>
      <c r="AA350" s="184">
        <v>0</v>
      </c>
      <c r="AB350" s="184">
        <v>0</v>
      </c>
      <c r="AC350" s="185" t="s">
        <v>24</v>
      </c>
      <c r="AD350" s="185" t="s">
        <v>24</v>
      </c>
      <c r="AE350" s="184">
        <v>0</v>
      </c>
      <c r="AF350" s="185">
        <v>0</v>
      </c>
      <c r="AG350" s="184">
        <v>0</v>
      </c>
      <c r="AH350" s="185">
        <v>0</v>
      </c>
      <c r="AI350" s="184">
        <v>0</v>
      </c>
      <c r="AJ350" s="643">
        <v>0</v>
      </c>
    </row>
    <row r="351" spans="1:36" x14ac:dyDescent="0.2">
      <c r="A351" s="190" t="s">
        <v>63</v>
      </c>
      <c r="B351" s="642">
        <v>1</v>
      </c>
      <c r="C351" s="184">
        <v>0</v>
      </c>
      <c r="D351" s="184">
        <v>1</v>
      </c>
      <c r="E351" s="184">
        <v>0</v>
      </c>
      <c r="F351" s="184">
        <v>0</v>
      </c>
      <c r="G351" s="184">
        <v>0</v>
      </c>
      <c r="H351" s="184">
        <v>0</v>
      </c>
      <c r="I351" s="184">
        <v>0</v>
      </c>
      <c r="J351" s="184">
        <v>0</v>
      </c>
      <c r="K351" s="184">
        <v>0</v>
      </c>
      <c r="L351" s="184">
        <v>0</v>
      </c>
      <c r="M351" s="616" t="s">
        <v>24</v>
      </c>
      <c r="N351" s="585" t="s">
        <v>63</v>
      </c>
      <c r="O351" s="191">
        <v>0</v>
      </c>
      <c r="P351" s="184">
        <v>0</v>
      </c>
      <c r="Q351" s="184">
        <v>0</v>
      </c>
      <c r="R351" s="184">
        <v>0</v>
      </c>
      <c r="S351" s="184">
        <v>0</v>
      </c>
      <c r="T351" s="184">
        <v>0</v>
      </c>
      <c r="U351" s="184">
        <v>1</v>
      </c>
      <c r="V351" s="184">
        <v>0</v>
      </c>
      <c r="W351" s="184">
        <v>0</v>
      </c>
      <c r="X351" s="184">
        <v>0</v>
      </c>
      <c r="Y351" s="184">
        <v>0</v>
      </c>
      <c r="Z351" s="184">
        <v>0</v>
      </c>
      <c r="AA351" s="184">
        <v>0</v>
      </c>
      <c r="AB351" s="184">
        <v>0</v>
      </c>
      <c r="AC351" s="185">
        <v>37.4</v>
      </c>
      <c r="AD351" s="185" t="s">
        <v>24</v>
      </c>
      <c r="AE351" s="184">
        <v>0</v>
      </c>
      <c r="AF351" s="185">
        <v>0</v>
      </c>
      <c r="AG351" s="184">
        <v>0</v>
      </c>
      <c r="AH351" s="185">
        <v>0</v>
      </c>
      <c r="AI351" s="184">
        <v>0</v>
      </c>
      <c r="AJ351" s="643">
        <v>0</v>
      </c>
    </row>
    <row r="352" spans="1:36" x14ac:dyDescent="0.2">
      <c r="A352" s="190" t="s">
        <v>44</v>
      </c>
      <c r="B352" s="642">
        <v>0</v>
      </c>
      <c r="C352" s="184">
        <v>0</v>
      </c>
      <c r="D352" s="184">
        <v>0</v>
      </c>
      <c r="E352" s="184">
        <v>0</v>
      </c>
      <c r="F352" s="184">
        <v>0</v>
      </c>
      <c r="G352" s="184">
        <v>0</v>
      </c>
      <c r="H352" s="184">
        <v>0</v>
      </c>
      <c r="I352" s="184">
        <v>0</v>
      </c>
      <c r="J352" s="184">
        <v>0</v>
      </c>
      <c r="K352" s="184">
        <v>0</v>
      </c>
      <c r="L352" s="184">
        <v>0</v>
      </c>
      <c r="M352" s="616" t="s">
        <v>24</v>
      </c>
      <c r="N352" s="585" t="s">
        <v>44</v>
      </c>
      <c r="O352" s="191">
        <v>0</v>
      </c>
      <c r="P352" s="184">
        <v>0</v>
      </c>
      <c r="Q352" s="184">
        <v>0</v>
      </c>
      <c r="R352" s="184">
        <v>0</v>
      </c>
      <c r="S352" s="184">
        <v>0</v>
      </c>
      <c r="T352" s="184">
        <v>0</v>
      </c>
      <c r="U352" s="184">
        <v>0</v>
      </c>
      <c r="V352" s="184">
        <v>0</v>
      </c>
      <c r="W352" s="184">
        <v>0</v>
      </c>
      <c r="X352" s="184">
        <v>0</v>
      </c>
      <c r="Y352" s="184">
        <v>0</v>
      </c>
      <c r="Z352" s="184">
        <v>0</v>
      </c>
      <c r="AA352" s="184">
        <v>0</v>
      </c>
      <c r="AB352" s="184">
        <v>0</v>
      </c>
      <c r="AC352" s="185" t="s">
        <v>24</v>
      </c>
      <c r="AD352" s="185" t="s">
        <v>24</v>
      </c>
      <c r="AE352" s="184">
        <v>0</v>
      </c>
      <c r="AF352" s="185">
        <v>0</v>
      </c>
      <c r="AG352" s="184">
        <v>0</v>
      </c>
      <c r="AH352" s="185">
        <v>0</v>
      </c>
      <c r="AI352" s="184">
        <v>0</v>
      </c>
      <c r="AJ352" s="643">
        <v>0</v>
      </c>
    </row>
    <row r="353" spans="1:36" x14ac:dyDescent="0.2">
      <c r="A353" s="190" t="s">
        <v>66</v>
      </c>
      <c r="B353" s="642">
        <v>0</v>
      </c>
      <c r="C353" s="184">
        <v>0</v>
      </c>
      <c r="D353" s="184">
        <v>0</v>
      </c>
      <c r="E353" s="184">
        <v>0</v>
      </c>
      <c r="F353" s="184">
        <v>0</v>
      </c>
      <c r="G353" s="184">
        <v>0</v>
      </c>
      <c r="H353" s="184">
        <v>0</v>
      </c>
      <c r="I353" s="184">
        <v>0</v>
      </c>
      <c r="J353" s="184">
        <v>0</v>
      </c>
      <c r="K353" s="184">
        <v>0</v>
      </c>
      <c r="L353" s="184">
        <v>0</v>
      </c>
      <c r="M353" s="616" t="s">
        <v>24</v>
      </c>
      <c r="N353" s="585" t="s">
        <v>66</v>
      </c>
      <c r="O353" s="191">
        <v>0</v>
      </c>
      <c r="P353" s="184">
        <v>0</v>
      </c>
      <c r="Q353" s="184">
        <v>0</v>
      </c>
      <c r="R353" s="184">
        <v>0</v>
      </c>
      <c r="S353" s="184">
        <v>0</v>
      </c>
      <c r="T353" s="184">
        <v>0</v>
      </c>
      <c r="U353" s="184">
        <v>0</v>
      </c>
      <c r="V353" s="184">
        <v>0</v>
      </c>
      <c r="W353" s="184">
        <v>0</v>
      </c>
      <c r="X353" s="184">
        <v>0</v>
      </c>
      <c r="Y353" s="184">
        <v>0</v>
      </c>
      <c r="Z353" s="184">
        <v>0</v>
      </c>
      <c r="AA353" s="184">
        <v>0</v>
      </c>
      <c r="AB353" s="184">
        <v>0</v>
      </c>
      <c r="AC353" s="185" t="s">
        <v>24</v>
      </c>
      <c r="AD353" s="185" t="s">
        <v>24</v>
      </c>
      <c r="AE353" s="184">
        <v>0</v>
      </c>
      <c r="AF353" s="185">
        <v>0</v>
      </c>
      <c r="AG353" s="184">
        <v>0</v>
      </c>
      <c r="AH353" s="185">
        <v>0</v>
      </c>
      <c r="AI353" s="184">
        <v>0</v>
      </c>
      <c r="AJ353" s="643">
        <v>0</v>
      </c>
    </row>
    <row r="354" spans="1:36" x14ac:dyDescent="0.2">
      <c r="A354" s="190" t="s">
        <v>68</v>
      </c>
      <c r="B354" s="642">
        <v>1</v>
      </c>
      <c r="C354" s="184">
        <v>0</v>
      </c>
      <c r="D354" s="184">
        <v>1</v>
      </c>
      <c r="E354" s="184">
        <v>0</v>
      </c>
      <c r="F354" s="184">
        <v>0</v>
      </c>
      <c r="G354" s="184">
        <v>0</v>
      </c>
      <c r="H354" s="184">
        <v>0</v>
      </c>
      <c r="I354" s="184">
        <v>0</v>
      </c>
      <c r="J354" s="184">
        <v>0</v>
      </c>
      <c r="K354" s="184">
        <v>0</v>
      </c>
      <c r="L354" s="184">
        <v>0</v>
      </c>
      <c r="M354" s="616" t="s">
        <v>24</v>
      </c>
      <c r="N354" s="585" t="s">
        <v>68</v>
      </c>
      <c r="O354" s="191">
        <v>0</v>
      </c>
      <c r="P354" s="184">
        <v>0</v>
      </c>
      <c r="Q354" s="184">
        <v>0</v>
      </c>
      <c r="R354" s="184">
        <v>0</v>
      </c>
      <c r="S354" s="184">
        <v>0</v>
      </c>
      <c r="T354" s="184">
        <v>0</v>
      </c>
      <c r="U354" s="184">
        <v>0</v>
      </c>
      <c r="V354" s="184">
        <v>0</v>
      </c>
      <c r="W354" s="184">
        <v>1</v>
      </c>
      <c r="X354" s="184">
        <v>0</v>
      </c>
      <c r="Y354" s="184">
        <v>0</v>
      </c>
      <c r="Z354" s="184">
        <v>0</v>
      </c>
      <c r="AA354" s="184">
        <v>0</v>
      </c>
      <c r="AB354" s="184">
        <v>0</v>
      </c>
      <c r="AC354" s="185">
        <v>48.1</v>
      </c>
      <c r="AD354" s="185" t="s">
        <v>24</v>
      </c>
      <c r="AE354" s="184">
        <v>0</v>
      </c>
      <c r="AF354" s="185">
        <v>0</v>
      </c>
      <c r="AG354" s="184">
        <v>0</v>
      </c>
      <c r="AH354" s="185">
        <v>0</v>
      </c>
      <c r="AI354" s="184">
        <v>0</v>
      </c>
      <c r="AJ354" s="643">
        <v>0</v>
      </c>
    </row>
    <row r="355" spans="1:36" x14ac:dyDescent="0.2">
      <c r="A355" s="190" t="s">
        <v>70</v>
      </c>
      <c r="B355" s="642">
        <v>0</v>
      </c>
      <c r="C355" s="184">
        <v>0</v>
      </c>
      <c r="D355" s="184">
        <v>0</v>
      </c>
      <c r="E355" s="184">
        <v>0</v>
      </c>
      <c r="F355" s="184">
        <v>0</v>
      </c>
      <c r="G355" s="184">
        <v>0</v>
      </c>
      <c r="H355" s="184">
        <v>0</v>
      </c>
      <c r="I355" s="184">
        <v>0</v>
      </c>
      <c r="J355" s="184">
        <v>0</v>
      </c>
      <c r="K355" s="184">
        <v>0</v>
      </c>
      <c r="L355" s="184">
        <v>0</v>
      </c>
      <c r="M355" s="616" t="s">
        <v>24</v>
      </c>
      <c r="N355" s="585" t="s">
        <v>70</v>
      </c>
      <c r="O355" s="191">
        <v>0</v>
      </c>
      <c r="P355" s="184">
        <v>0</v>
      </c>
      <c r="Q355" s="184">
        <v>0</v>
      </c>
      <c r="R355" s="184">
        <v>0</v>
      </c>
      <c r="S355" s="184">
        <v>0</v>
      </c>
      <c r="T355" s="184">
        <v>0</v>
      </c>
      <c r="U355" s="184">
        <v>0</v>
      </c>
      <c r="V355" s="184">
        <v>0</v>
      </c>
      <c r="W355" s="184">
        <v>0</v>
      </c>
      <c r="X355" s="184">
        <v>0</v>
      </c>
      <c r="Y355" s="184">
        <v>0</v>
      </c>
      <c r="Z355" s="184">
        <v>0</v>
      </c>
      <c r="AA355" s="184">
        <v>0</v>
      </c>
      <c r="AB355" s="184">
        <v>0</v>
      </c>
      <c r="AC355" s="185" t="s">
        <v>24</v>
      </c>
      <c r="AD355" s="185" t="s">
        <v>24</v>
      </c>
      <c r="AE355" s="184">
        <v>0</v>
      </c>
      <c r="AF355" s="185">
        <v>0</v>
      </c>
      <c r="AG355" s="184">
        <v>0</v>
      </c>
      <c r="AH355" s="185">
        <v>0</v>
      </c>
      <c r="AI355" s="184">
        <v>0</v>
      </c>
      <c r="AJ355" s="643">
        <v>0</v>
      </c>
    </row>
    <row r="356" spans="1:36" x14ac:dyDescent="0.2">
      <c r="A356" s="190" t="s">
        <v>46</v>
      </c>
      <c r="B356" s="642">
        <v>1</v>
      </c>
      <c r="C356" s="184">
        <v>0</v>
      </c>
      <c r="D356" s="184">
        <v>0</v>
      </c>
      <c r="E356" s="184">
        <v>0</v>
      </c>
      <c r="F356" s="184">
        <v>1</v>
      </c>
      <c r="G356" s="184">
        <v>0</v>
      </c>
      <c r="H356" s="184">
        <v>0</v>
      </c>
      <c r="I356" s="184">
        <v>0</v>
      </c>
      <c r="J356" s="184">
        <v>0</v>
      </c>
      <c r="K356" s="184">
        <v>0</v>
      </c>
      <c r="L356" s="184">
        <v>0</v>
      </c>
      <c r="M356" s="616" t="s">
        <v>24</v>
      </c>
      <c r="N356" s="585" t="s">
        <v>46</v>
      </c>
      <c r="O356" s="191">
        <v>0</v>
      </c>
      <c r="P356" s="184">
        <v>0</v>
      </c>
      <c r="Q356" s="184">
        <v>0</v>
      </c>
      <c r="R356" s="184">
        <v>0</v>
      </c>
      <c r="S356" s="184">
        <v>0</v>
      </c>
      <c r="T356" s="184">
        <v>0</v>
      </c>
      <c r="U356" s="184">
        <v>0</v>
      </c>
      <c r="V356" s="184">
        <v>1</v>
      </c>
      <c r="W356" s="184">
        <v>0</v>
      </c>
      <c r="X356" s="184">
        <v>0</v>
      </c>
      <c r="Y356" s="184">
        <v>0</v>
      </c>
      <c r="Z356" s="184">
        <v>0</v>
      </c>
      <c r="AA356" s="184">
        <v>0</v>
      </c>
      <c r="AB356" s="184">
        <v>0</v>
      </c>
      <c r="AC356" s="185">
        <v>42</v>
      </c>
      <c r="AD356" s="185" t="s">
        <v>24</v>
      </c>
      <c r="AE356" s="184">
        <v>0</v>
      </c>
      <c r="AF356" s="185">
        <v>0</v>
      </c>
      <c r="AG356" s="184">
        <v>0</v>
      </c>
      <c r="AH356" s="185">
        <v>0</v>
      </c>
      <c r="AI356" s="184">
        <v>0</v>
      </c>
      <c r="AJ356" s="643">
        <v>0</v>
      </c>
    </row>
    <row r="357" spans="1:36" x14ac:dyDescent="0.2">
      <c r="A357" s="190" t="s">
        <v>73</v>
      </c>
      <c r="B357" s="642">
        <v>1</v>
      </c>
      <c r="C357" s="184">
        <v>0</v>
      </c>
      <c r="D357" s="184">
        <v>1</v>
      </c>
      <c r="E357" s="184">
        <v>0</v>
      </c>
      <c r="F357" s="184">
        <v>0</v>
      </c>
      <c r="G357" s="184">
        <v>0</v>
      </c>
      <c r="H357" s="184">
        <v>0</v>
      </c>
      <c r="I357" s="184">
        <v>0</v>
      </c>
      <c r="J357" s="184">
        <v>0</v>
      </c>
      <c r="K357" s="184">
        <v>0</v>
      </c>
      <c r="L357" s="184">
        <v>0</v>
      </c>
      <c r="M357" s="616" t="s">
        <v>24</v>
      </c>
      <c r="N357" s="585" t="s">
        <v>73</v>
      </c>
      <c r="O357" s="191">
        <v>0</v>
      </c>
      <c r="P357" s="184">
        <v>0</v>
      </c>
      <c r="Q357" s="184">
        <v>0</v>
      </c>
      <c r="R357" s="184">
        <v>0</v>
      </c>
      <c r="S357" s="184">
        <v>0</v>
      </c>
      <c r="T357" s="184">
        <v>0</v>
      </c>
      <c r="U357" s="184">
        <v>1</v>
      </c>
      <c r="V357" s="184">
        <v>0</v>
      </c>
      <c r="W357" s="184">
        <v>0</v>
      </c>
      <c r="X357" s="184">
        <v>0</v>
      </c>
      <c r="Y357" s="184">
        <v>0</v>
      </c>
      <c r="Z357" s="184">
        <v>0</v>
      </c>
      <c r="AA357" s="184">
        <v>0</v>
      </c>
      <c r="AB357" s="184">
        <v>0</v>
      </c>
      <c r="AC357" s="185">
        <v>38.700000000000003</v>
      </c>
      <c r="AD357" s="185" t="s">
        <v>24</v>
      </c>
      <c r="AE357" s="184">
        <v>0</v>
      </c>
      <c r="AF357" s="185">
        <v>0</v>
      </c>
      <c r="AG357" s="184">
        <v>0</v>
      </c>
      <c r="AH357" s="185">
        <v>0</v>
      </c>
      <c r="AI357" s="184">
        <v>0</v>
      </c>
      <c r="AJ357" s="643">
        <v>0</v>
      </c>
    </row>
    <row r="358" spans="1:36" x14ac:dyDescent="0.2">
      <c r="A358" s="190" t="s">
        <v>75</v>
      </c>
      <c r="B358" s="642">
        <v>1</v>
      </c>
      <c r="C358" s="184">
        <v>0</v>
      </c>
      <c r="D358" s="184">
        <v>1</v>
      </c>
      <c r="E358" s="184">
        <v>0</v>
      </c>
      <c r="F358" s="184">
        <v>0</v>
      </c>
      <c r="G358" s="184">
        <v>0</v>
      </c>
      <c r="H358" s="184">
        <v>0</v>
      </c>
      <c r="I358" s="184">
        <v>0</v>
      </c>
      <c r="J358" s="184">
        <v>0</v>
      </c>
      <c r="K358" s="184">
        <v>0</v>
      </c>
      <c r="L358" s="184">
        <v>0</v>
      </c>
      <c r="M358" s="616" t="s">
        <v>24</v>
      </c>
      <c r="N358" s="585" t="s">
        <v>75</v>
      </c>
      <c r="O358" s="191">
        <v>0</v>
      </c>
      <c r="P358" s="184">
        <v>0</v>
      </c>
      <c r="Q358" s="184">
        <v>0</v>
      </c>
      <c r="R358" s="184">
        <v>0</v>
      </c>
      <c r="S358" s="184">
        <v>0</v>
      </c>
      <c r="T358" s="184">
        <v>0</v>
      </c>
      <c r="U358" s="184">
        <v>0</v>
      </c>
      <c r="V358" s="184">
        <v>0</v>
      </c>
      <c r="W358" s="184">
        <v>0</v>
      </c>
      <c r="X358" s="184">
        <v>0</v>
      </c>
      <c r="Y358" s="184">
        <v>1</v>
      </c>
      <c r="Z358" s="184">
        <v>0</v>
      </c>
      <c r="AA358" s="184">
        <v>0</v>
      </c>
      <c r="AB358" s="184">
        <v>0</v>
      </c>
      <c r="AC358" s="185">
        <v>61.6</v>
      </c>
      <c r="AD358" s="185" t="s">
        <v>24</v>
      </c>
      <c r="AE358" s="184">
        <v>1</v>
      </c>
      <c r="AF358" s="185">
        <v>100</v>
      </c>
      <c r="AG358" s="184">
        <v>0</v>
      </c>
      <c r="AH358" s="185">
        <v>0</v>
      </c>
      <c r="AI358" s="184">
        <v>0</v>
      </c>
      <c r="AJ358" s="643">
        <v>0</v>
      </c>
    </row>
    <row r="359" spans="1:36" ht="13.5" thickBot="1" x14ac:dyDescent="0.25">
      <c r="A359" s="190" t="s">
        <v>77</v>
      </c>
      <c r="B359" s="644">
        <v>2</v>
      </c>
      <c r="C359" s="188">
        <v>0</v>
      </c>
      <c r="D359" s="188">
        <v>2</v>
      </c>
      <c r="E359" s="188">
        <v>0</v>
      </c>
      <c r="F359" s="188">
        <v>0</v>
      </c>
      <c r="G359" s="188">
        <v>0</v>
      </c>
      <c r="H359" s="188">
        <v>0</v>
      </c>
      <c r="I359" s="188">
        <v>0</v>
      </c>
      <c r="J359" s="188">
        <v>0</v>
      </c>
      <c r="K359" s="188">
        <v>0</v>
      </c>
      <c r="L359" s="188">
        <v>0</v>
      </c>
      <c r="M359" s="617" t="s">
        <v>24</v>
      </c>
      <c r="N359" s="585" t="s">
        <v>77</v>
      </c>
      <c r="O359" s="619">
        <v>0</v>
      </c>
      <c r="P359" s="188">
        <v>0</v>
      </c>
      <c r="Q359" s="188">
        <v>0</v>
      </c>
      <c r="R359" s="188">
        <v>0</v>
      </c>
      <c r="S359" s="188">
        <v>0</v>
      </c>
      <c r="T359" s="188">
        <v>0</v>
      </c>
      <c r="U359" s="188">
        <v>0</v>
      </c>
      <c r="V359" s="188">
        <v>0</v>
      </c>
      <c r="W359" s="188">
        <v>0</v>
      </c>
      <c r="X359" s="188">
        <v>1</v>
      </c>
      <c r="Y359" s="188">
        <v>1</v>
      </c>
      <c r="Z359" s="188">
        <v>0</v>
      </c>
      <c r="AA359" s="188">
        <v>0</v>
      </c>
      <c r="AB359" s="188">
        <v>0</v>
      </c>
      <c r="AC359" s="189">
        <v>58.1</v>
      </c>
      <c r="AD359" s="189" t="s">
        <v>24</v>
      </c>
      <c r="AE359" s="188">
        <v>1</v>
      </c>
      <c r="AF359" s="189">
        <v>50</v>
      </c>
      <c r="AG359" s="188">
        <v>0</v>
      </c>
      <c r="AH359" s="189">
        <v>0</v>
      </c>
      <c r="AI359" s="188">
        <v>0</v>
      </c>
      <c r="AJ359" s="645">
        <v>0</v>
      </c>
    </row>
    <row r="360" spans="1:36" x14ac:dyDescent="0.2">
      <c r="A360" s="190" t="s">
        <v>48</v>
      </c>
      <c r="B360" s="642">
        <v>3</v>
      </c>
      <c r="C360" s="184">
        <v>0</v>
      </c>
      <c r="D360" s="184">
        <v>2</v>
      </c>
      <c r="E360" s="184">
        <v>0</v>
      </c>
      <c r="F360" s="184">
        <v>1</v>
      </c>
      <c r="G360" s="184">
        <v>0</v>
      </c>
      <c r="H360" s="184">
        <v>0</v>
      </c>
      <c r="I360" s="184">
        <v>0</v>
      </c>
      <c r="J360" s="184">
        <v>0</v>
      </c>
      <c r="K360" s="184">
        <v>0</v>
      </c>
      <c r="L360" s="184">
        <v>0</v>
      </c>
      <c r="M360" s="616" t="s">
        <v>24</v>
      </c>
      <c r="N360" s="585" t="s">
        <v>48</v>
      </c>
      <c r="O360" s="191">
        <v>0</v>
      </c>
      <c r="P360" s="184">
        <v>0</v>
      </c>
      <c r="Q360" s="184">
        <v>0</v>
      </c>
      <c r="R360" s="184">
        <v>0</v>
      </c>
      <c r="S360" s="184">
        <v>0</v>
      </c>
      <c r="T360" s="184">
        <v>0</v>
      </c>
      <c r="U360" s="184">
        <v>1</v>
      </c>
      <c r="V360" s="184">
        <v>1</v>
      </c>
      <c r="W360" s="184">
        <v>0</v>
      </c>
      <c r="X360" s="184">
        <v>1</v>
      </c>
      <c r="Y360" s="184">
        <v>0</v>
      </c>
      <c r="Z360" s="184">
        <v>0</v>
      </c>
      <c r="AA360" s="184">
        <v>0</v>
      </c>
      <c r="AB360" s="184">
        <v>0</v>
      </c>
      <c r="AC360" s="185">
        <v>43.7</v>
      </c>
      <c r="AD360" s="185" t="s">
        <v>24</v>
      </c>
      <c r="AE360" s="184">
        <v>0</v>
      </c>
      <c r="AF360" s="185">
        <v>0</v>
      </c>
      <c r="AG360" s="184">
        <v>0</v>
      </c>
      <c r="AH360" s="185">
        <v>0</v>
      </c>
      <c r="AI360" s="184">
        <v>0</v>
      </c>
      <c r="AJ360" s="643">
        <v>0</v>
      </c>
    </row>
    <row r="361" spans="1:36" x14ac:dyDescent="0.2">
      <c r="A361" s="190" t="s">
        <v>79</v>
      </c>
      <c r="B361" s="642">
        <v>2</v>
      </c>
      <c r="C361" s="184">
        <v>0</v>
      </c>
      <c r="D361" s="184">
        <v>2</v>
      </c>
      <c r="E361" s="184">
        <v>0</v>
      </c>
      <c r="F361" s="184">
        <v>0</v>
      </c>
      <c r="G361" s="184">
        <v>0</v>
      </c>
      <c r="H361" s="184">
        <v>0</v>
      </c>
      <c r="I361" s="184">
        <v>0</v>
      </c>
      <c r="J361" s="184">
        <v>0</v>
      </c>
      <c r="K361" s="184">
        <v>0</v>
      </c>
      <c r="L361" s="184">
        <v>0</v>
      </c>
      <c r="M361" s="616" t="s">
        <v>24</v>
      </c>
      <c r="N361" s="585" t="s">
        <v>79</v>
      </c>
      <c r="O361" s="191">
        <v>0</v>
      </c>
      <c r="P361" s="184">
        <v>0</v>
      </c>
      <c r="Q361" s="184">
        <v>0</v>
      </c>
      <c r="R361" s="184">
        <v>0</v>
      </c>
      <c r="S361" s="184">
        <v>0</v>
      </c>
      <c r="T361" s="184">
        <v>0</v>
      </c>
      <c r="U361" s="184">
        <v>0</v>
      </c>
      <c r="V361" s="184">
        <v>1</v>
      </c>
      <c r="W361" s="184">
        <v>0</v>
      </c>
      <c r="X361" s="184">
        <v>1</v>
      </c>
      <c r="Y361" s="184">
        <v>0</v>
      </c>
      <c r="Z361" s="184">
        <v>0</v>
      </c>
      <c r="AA361" s="184">
        <v>0</v>
      </c>
      <c r="AB361" s="184">
        <v>0</v>
      </c>
      <c r="AC361" s="185">
        <v>46.7</v>
      </c>
      <c r="AD361" s="185" t="s">
        <v>24</v>
      </c>
      <c r="AE361" s="184">
        <v>0</v>
      </c>
      <c r="AF361" s="185">
        <v>0</v>
      </c>
      <c r="AG361" s="184">
        <v>0</v>
      </c>
      <c r="AH361" s="185">
        <v>0</v>
      </c>
      <c r="AI361" s="184">
        <v>0</v>
      </c>
      <c r="AJ361" s="643">
        <v>0</v>
      </c>
    </row>
    <row r="362" spans="1:36" x14ac:dyDescent="0.2">
      <c r="A362" s="190" t="s">
        <v>80</v>
      </c>
      <c r="B362" s="642">
        <v>4</v>
      </c>
      <c r="C362" s="184">
        <v>0</v>
      </c>
      <c r="D362" s="184">
        <v>4</v>
      </c>
      <c r="E362" s="184">
        <v>0</v>
      </c>
      <c r="F362" s="184">
        <v>0</v>
      </c>
      <c r="G362" s="184">
        <v>0</v>
      </c>
      <c r="H362" s="184">
        <v>0</v>
      </c>
      <c r="I362" s="184">
        <v>0</v>
      </c>
      <c r="J362" s="184">
        <v>0</v>
      </c>
      <c r="K362" s="184">
        <v>0</v>
      </c>
      <c r="L362" s="184">
        <v>0</v>
      </c>
      <c r="M362" s="616" t="s">
        <v>24</v>
      </c>
      <c r="N362" s="585" t="s">
        <v>80</v>
      </c>
      <c r="O362" s="191">
        <v>0</v>
      </c>
      <c r="P362" s="184">
        <v>0</v>
      </c>
      <c r="Q362" s="184">
        <v>0</v>
      </c>
      <c r="R362" s="184">
        <v>0</v>
      </c>
      <c r="S362" s="184">
        <v>0</v>
      </c>
      <c r="T362" s="184">
        <v>0</v>
      </c>
      <c r="U362" s="184">
        <v>0</v>
      </c>
      <c r="V362" s="184">
        <v>1</v>
      </c>
      <c r="W362" s="184">
        <v>2</v>
      </c>
      <c r="X362" s="184">
        <v>1</v>
      </c>
      <c r="Y362" s="184">
        <v>0</v>
      </c>
      <c r="Z362" s="184">
        <v>0</v>
      </c>
      <c r="AA362" s="184">
        <v>0</v>
      </c>
      <c r="AB362" s="184">
        <v>0</v>
      </c>
      <c r="AC362" s="185">
        <v>47.5</v>
      </c>
      <c r="AD362" s="185" t="s">
        <v>24</v>
      </c>
      <c r="AE362" s="184">
        <v>0</v>
      </c>
      <c r="AF362" s="185">
        <v>0</v>
      </c>
      <c r="AG362" s="184">
        <v>0</v>
      </c>
      <c r="AH362" s="185">
        <v>0</v>
      </c>
      <c r="AI362" s="184">
        <v>0</v>
      </c>
      <c r="AJ362" s="643">
        <v>0</v>
      </c>
    </row>
    <row r="363" spans="1:36" ht="13.5" thickBot="1" x14ac:dyDescent="0.25">
      <c r="A363" s="190" t="s">
        <v>81</v>
      </c>
      <c r="B363" s="644">
        <v>4</v>
      </c>
      <c r="C363" s="188">
        <v>0</v>
      </c>
      <c r="D363" s="188">
        <v>3</v>
      </c>
      <c r="E363" s="188">
        <v>0</v>
      </c>
      <c r="F363" s="188">
        <v>1</v>
      </c>
      <c r="G363" s="188">
        <v>0</v>
      </c>
      <c r="H363" s="188">
        <v>0</v>
      </c>
      <c r="I363" s="188">
        <v>0</v>
      </c>
      <c r="J363" s="188">
        <v>0</v>
      </c>
      <c r="K363" s="188">
        <v>0</v>
      </c>
      <c r="L363" s="188">
        <v>0</v>
      </c>
      <c r="M363" s="617" t="s">
        <v>24</v>
      </c>
      <c r="N363" s="585" t="s">
        <v>81</v>
      </c>
      <c r="O363" s="619">
        <v>0</v>
      </c>
      <c r="P363" s="188">
        <v>0</v>
      </c>
      <c r="Q363" s="188">
        <v>0</v>
      </c>
      <c r="R363" s="188">
        <v>0</v>
      </c>
      <c r="S363" s="188">
        <v>1</v>
      </c>
      <c r="T363" s="188">
        <v>1</v>
      </c>
      <c r="U363" s="188">
        <v>0</v>
      </c>
      <c r="V363" s="188">
        <v>0</v>
      </c>
      <c r="W363" s="188">
        <v>1</v>
      </c>
      <c r="X363" s="188">
        <v>0</v>
      </c>
      <c r="Y363" s="188">
        <v>1</v>
      </c>
      <c r="Z363" s="188">
        <v>0</v>
      </c>
      <c r="AA363" s="188">
        <v>0</v>
      </c>
      <c r="AB363" s="188">
        <v>0</v>
      </c>
      <c r="AC363" s="189">
        <v>44.1</v>
      </c>
      <c r="AD363" s="189" t="s">
        <v>24</v>
      </c>
      <c r="AE363" s="188">
        <v>1</v>
      </c>
      <c r="AF363" s="189">
        <v>25</v>
      </c>
      <c r="AG363" s="188">
        <v>0</v>
      </c>
      <c r="AH363" s="189">
        <v>0</v>
      </c>
      <c r="AI363" s="188">
        <v>0</v>
      </c>
      <c r="AJ363" s="645">
        <v>0</v>
      </c>
    </row>
    <row r="364" spans="1:36" x14ac:dyDescent="0.2">
      <c r="A364" s="190" t="s">
        <v>50</v>
      </c>
      <c r="B364" s="646">
        <v>5</v>
      </c>
      <c r="C364" s="186">
        <v>2</v>
      </c>
      <c r="D364" s="186">
        <v>1</v>
      </c>
      <c r="E364" s="186">
        <v>0</v>
      </c>
      <c r="F364" s="186">
        <v>2</v>
      </c>
      <c r="G364" s="186">
        <v>0</v>
      </c>
      <c r="H364" s="186">
        <v>0</v>
      </c>
      <c r="I364" s="186">
        <v>0</v>
      </c>
      <c r="J364" s="186">
        <v>0</v>
      </c>
      <c r="K364" s="186">
        <v>0</v>
      </c>
      <c r="L364" s="186">
        <v>0</v>
      </c>
      <c r="M364" s="618" t="s">
        <v>24</v>
      </c>
      <c r="N364" s="585" t="s">
        <v>50</v>
      </c>
      <c r="O364" s="567">
        <v>0</v>
      </c>
      <c r="P364" s="186">
        <v>0</v>
      </c>
      <c r="Q364" s="186">
        <v>1</v>
      </c>
      <c r="R364" s="186">
        <v>0</v>
      </c>
      <c r="S364" s="186">
        <v>1</v>
      </c>
      <c r="T364" s="186">
        <v>1</v>
      </c>
      <c r="U364" s="186">
        <v>0</v>
      </c>
      <c r="V364" s="186">
        <v>1</v>
      </c>
      <c r="W364" s="186">
        <v>1</v>
      </c>
      <c r="X364" s="186">
        <v>0</v>
      </c>
      <c r="Y364" s="186">
        <v>0</v>
      </c>
      <c r="Z364" s="186">
        <v>0</v>
      </c>
      <c r="AA364" s="186">
        <v>0</v>
      </c>
      <c r="AB364" s="186">
        <v>0</v>
      </c>
      <c r="AC364" s="187">
        <v>34.700000000000003</v>
      </c>
      <c r="AD364" s="187" t="s">
        <v>24</v>
      </c>
      <c r="AE364" s="186">
        <v>0</v>
      </c>
      <c r="AF364" s="187">
        <v>0</v>
      </c>
      <c r="AG364" s="186">
        <v>0</v>
      </c>
      <c r="AH364" s="187">
        <v>0</v>
      </c>
      <c r="AI364" s="186">
        <v>0</v>
      </c>
      <c r="AJ364" s="647">
        <v>0</v>
      </c>
    </row>
    <row r="365" spans="1:36" x14ac:dyDescent="0.2">
      <c r="A365" s="190" t="s">
        <v>82</v>
      </c>
      <c r="B365" s="642">
        <v>6</v>
      </c>
      <c r="C365" s="184">
        <v>0</v>
      </c>
      <c r="D365" s="184">
        <v>5</v>
      </c>
      <c r="E365" s="184">
        <v>0</v>
      </c>
      <c r="F365" s="184">
        <v>1</v>
      </c>
      <c r="G365" s="184">
        <v>0</v>
      </c>
      <c r="H365" s="184">
        <v>0</v>
      </c>
      <c r="I365" s="184">
        <v>0</v>
      </c>
      <c r="J365" s="184">
        <v>0</v>
      </c>
      <c r="K365" s="184">
        <v>0</v>
      </c>
      <c r="L365" s="184">
        <v>0</v>
      </c>
      <c r="M365" s="616" t="s">
        <v>24</v>
      </c>
      <c r="N365" s="585" t="s">
        <v>82</v>
      </c>
      <c r="O365" s="191">
        <v>0</v>
      </c>
      <c r="P365" s="184">
        <v>0</v>
      </c>
      <c r="Q365" s="184">
        <v>0</v>
      </c>
      <c r="R365" s="184">
        <v>0</v>
      </c>
      <c r="S365" s="184">
        <v>0</v>
      </c>
      <c r="T365" s="184">
        <v>1</v>
      </c>
      <c r="U365" s="184">
        <v>0</v>
      </c>
      <c r="V365" s="184">
        <v>3</v>
      </c>
      <c r="W365" s="184">
        <v>1</v>
      </c>
      <c r="X365" s="184">
        <v>1</v>
      </c>
      <c r="Y365" s="184">
        <v>0</v>
      </c>
      <c r="Z365" s="184">
        <v>0</v>
      </c>
      <c r="AA365" s="184">
        <v>0</v>
      </c>
      <c r="AB365" s="184">
        <v>0</v>
      </c>
      <c r="AC365" s="185">
        <v>45.4</v>
      </c>
      <c r="AD365" s="185" t="s">
        <v>24</v>
      </c>
      <c r="AE365" s="184">
        <v>0</v>
      </c>
      <c r="AF365" s="185">
        <v>0</v>
      </c>
      <c r="AG365" s="184">
        <v>0</v>
      </c>
      <c r="AH365" s="185">
        <v>0</v>
      </c>
      <c r="AI365" s="184">
        <v>0</v>
      </c>
      <c r="AJ365" s="643">
        <v>0</v>
      </c>
    </row>
    <row r="366" spans="1:36" x14ac:dyDescent="0.2">
      <c r="A366" s="190" t="s">
        <v>83</v>
      </c>
      <c r="B366" s="642">
        <v>9</v>
      </c>
      <c r="C366" s="184">
        <v>0</v>
      </c>
      <c r="D366" s="184">
        <v>8</v>
      </c>
      <c r="E366" s="184">
        <v>0</v>
      </c>
      <c r="F366" s="184">
        <v>1</v>
      </c>
      <c r="G366" s="184">
        <v>0</v>
      </c>
      <c r="H366" s="184">
        <v>0</v>
      </c>
      <c r="I366" s="184">
        <v>0</v>
      </c>
      <c r="J366" s="184">
        <v>0</v>
      </c>
      <c r="K366" s="184">
        <v>0</v>
      </c>
      <c r="L366" s="184">
        <v>0</v>
      </c>
      <c r="M366" s="616" t="s">
        <v>24</v>
      </c>
      <c r="N366" s="585" t="s">
        <v>83</v>
      </c>
      <c r="O366" s="191">
        <v>0</v>
      </c>
      <c r="P366" s="184">
        <v>0</v>
      </c>
      <c r="Q366" s="184">
        <v>0</v>
      </c>
      <c r="R366" s="184">
        <v>1</v>
      </c>
      <c r="S366" s="184">
        <v>0</v>
      </c>
      <c r="T366" s="184">
        <v>0</v>
      </c>
      <c r="U366" s="184">
        <v>2</v>
      </c>
      <c r="V366" s="184">
        <v>4</v>
      </c>
      <c r="W366" s="184">
        <v>0</v>
      </c>
      <c r="X366" s="184">
        <v>2</v>
      </c>
      <c r="Y366" s="184">
        <v>0</v>
      </c>
      <c r="Z366" s="184">
        <v>0</v>
      </c>
      <c r="AA366" s="184">
        <v>0</v>
      </c>
      <c r="AB366" s="184">
        <v>0</v>
      </c>
      <c r="AC366" s="185">
        <v>41.9</v>
      </c>
      <c r="AD366" s="185" t="s">
        <v>24</v>
      </c>
      <c r="AE366" s="184">
        <v>0</v>
      </c>
      <c r="AF366" s="185">
        <v>0</v>
      </c>
      <c r="AG366" s="184">
        <v>0</v>
      </c>
      <c r="AH366" s="185">
        <v>0</v>
      </c>
      <c r="AI366" s="184">
        <v>0</v>
      </c>
      <c r="AJ366" s="643">
        <v>0</v>
      </c>
    </row>
    <row r="367" spans="1:36" x14ac:dyDescent="0.2">
      <c r="A367" s="190" t="s">
        <v>84</v>
      </c>
      <c r="B367" s="642">
        <v>15</v>
      </c>
      <c r="C367" s="184">
        <v>0</v>
      </c>
      <c r="D367" s="184">
        <v>13</v>
      </c>
      <c r="E367" s="184">
        <v>0</v>
      </c>
      <c r="F367" s="184">
        <v>2</v>
      </c>
      <c r="G367" s="184">
        <v>0</v>
      </c>
      <c r="H367" s="184">
        <v>0</v>
      </c>
      <c r="I367" s="184">
        <v>0</v>
      </c>
      <c r="J367" s="184">
        <v>0</v>
      </c>
      <c r="K367" s="184">
        <v>0</v>
      </c>
      <c r="L367" s="184">
        <v>0</v>
      </c>
      <c r="M367" s="616" t="s">
        <v>24</v>
      </c>
      <c r="N367" s="585" t="s">
        <v>84</v>
      </c>
      <c r="O367" s="191">
        <v>0</v>
      </c>
      <c r="P367" s="184">
        <v>0</v>
      </c>
      <c r="Q367" s="184">
        <v>0</v>
      </c>
      <c r="R367" s="184">
        <v>0</v>
      </c>
      <c r="S367" s="184">
        <v>0</v>
      </c>
      <c r="T367" s="184">
        <v>1</v>
      </c>
      <c r="U367" s="184">
        <v>5</v>
      </c>
      <c r="V367" s="184">
        <v>4</v>
      </c>
      <c r="W367" s="184">
        <v>0</v>
      </c>
      <c r="X367" s="184">
        <v>4</v>
      </c>
      <c r="Y367" s="184">
        <v>1</v>
      </c>
      <c r="Z367" s="184">
        <v>0</v>
      </c>
      <c r="AA367" s="184">
        <v>0</v>
      </c>
      <c r="AB367" s="184">
        <v>0</v>
      </c>
      <c r="AC367" s="185">
        <v>45.3</v>
      </c>
      <c r="AD367" s="185">
        <v>58.1</v>
      </c>
      <c r="AE367" s="184">
        <v>1</v>
      </c>
      <c r="AF367" s="185">
        <v>6.666666666666667</v>
      </c>
      <c r="AG367" s="184">
        <v>0</v>
      </c>
      <c r="AH367" s="185">
        <v>0</v>
      </c>
      <c r="AI367" s="184">
        <v>0</v>
      </c>
      <c r="AJ367" s="643">
        <v>0</v>
      </c>
    </row>
    <row r="368" spans="1:36" x14ac:dyDescent="0.2">
      <c r="A368" s="190" t="s">
        <v>51</v>
      </c>
      <c r="B368" s="642">
        <v>8</v>
      </c>
      <c r="C368" s="184">
        <v>0</v>
      </c>
      <c r="D368" s="184">
        <v>8</v>
      </c>
      <c r="E368" s="184">
        <v>0</v>
      </c>
      <c r="F368" s="184">
        <v>0</v>
      </c>
      <c r="G368" s="184">
        <v>0</v>
      </c>
      <c r="H368" s="184">
        <v>0</v>
      </c>
      <c r="I368" s="184">
        <v>0</v>
      </c>
      <c r="J368" s="184">
        <v>0</v>
      </c>
      <c r="K368" s="184">
        <v>0</v>
      </c>
      <c r="L368" s="184">
        <v>0</v>
      </c>
      <c r="M368" s="616" t="s">
        <v>24</v>
      </c>
      <c r="N368" s="585" t="s">
        <v>51</v>
      </c>
      <c r="O368" s="191">
        <v>0</v>
      </c>
      <c r="P368" s="184">
        <v>0</v>
      </c>
      <c r="Q368" s="184">
        <v>0</v>
      </c>
      <c r="R368" s="184">
        <v>0</v>
      </c>
      <c r="S368" s="184">
        <v>1</v>
      </c>
      <c r="T368" s="184">
        <v>1</v>
      </c>
      <c r="U368" s="184">
        <v>2</v>
      </c>
      <c r="V368" s="184">
        <v>2</v>
      </c>
      <c r="W368" s="184">
        <v>0</v>
      </c>
      <c r="X368" s="184">
        <v>2</v>
      </c>
      <c r="Y368" s="184">
        <v>0</v>
      </c>
      <c r="Z368" s="184">
        <v>0</v>
      </c>
      <c r="AA368" s="184">
        <v>0</v>
      </c>
      <c r="AB368" s="184">
        <v>0</v>
      </c>
      <c r="AC368" s="185">
        <v>41.2</v>
      </c>
      <c r="AD368" s="185" t="s">
        <v>24</v>
      </c>
      <c r="AE368" s="184">
        <v>0</v>
      </c>
      <c r="AF368" s="185">
        <v>0</v>
      </c>
      <c r="AG368" s="184">
        <v>0</v>
      </c>
      <c r="AH368" s="185">
        <v>0</v>
      </c>
      <c r="AI368" s="184">
        <v>0</v>
      </c>
      <c r="AJ368" s="643">
        <v>0</v>
      </c>
    </row>
    <row r="369" spans="1:36" x14ac:dyDescent="0.2">
      <c r="A369" s="190" t="s">
        <v>85</v>
      </c>
      <c r="B369" s="642">
        <v>6</v>
      </c>
      <c r="C369" s="184">
        <v>0</v>
      </c>
      <c r="D369" s="184">
        <v>5</v>
      </c>
      <c r="E369" s="184">
        <v>0</v>
      </c>
      <c r="F369" s="184">
        <v>1</v>
      </c>
      <c r="G369" s="184">
        <v>0</v>
      </c>
      <c r="H369" s="184">
        <v>0</v>
      </c>
      <c r="I369" s="184">
        <v>0</v>
      </c>
      <c r="J369" s="184">
        <v>0</v>
      </c>
      <c r="K369" s="184">
        <v>0</v>
      </c>
      <c r="L369" s="184">
        <v>0</v>
      </c>
      <c r="M369" s="616" t="s">
        <v>24</v>
      </c>
      <c r="N369" s="585" t="s">
        <v>85</v>
      </c>
      <c r="O369" s="191">
        <v>0</v>
      </c>
      <c r="P369" s="184">
        <v>0</v>
      </c>
      <c r="Q369" s="184">
        <v>0</v>
      </c>
      <c r="R369" s="184">
        <v>0</v>
      </c>
      <c r="S369" s="184">
        <v>0</v>
      </c>
      <c r="T369" s="184">
        <v>1</v>
      </c>
      <c r="U369" s="184">
        <v>1</v>
      </c>
      <c r="V369" s="184">
        <v>1</v>
      </c>
      <c r="W369" s="184">
        <v>1</v>
      </c>
      <c r="X369" s="184">
        <v>2</v>
      </c>
      <c r="Y369" s="184">
        <v>0</v>
      </c>
      <c r="Z369" s="184">
        <v>0</v>
      </c>
      <c r="AA369" s="184">
        <v>0</v>
      </c>
      <c r="AB369" s="184">
        <v>0</v>
      </c>
      <c r="AC369" s="185">
        <v>44.1</v>
      </c>
      <c r="AD369" s="185" t="s">
        <v>24</v>
      </c>
      <c r="AE369" s="184">
        <v>0</v>
      </c>
      <c r="AF369" s="185">
        <v>0</v>
      </c>
      <c r="AG369" s="184">
        <v>0</v>
      </c>
      <c r="AH369" s="185">
        <v>0</v>
      </c>
      <c r="AI369" s="184">
        <v>0</v>
      </c>
      <c r="AJ369" s="643">
        <v>0</v>
      </c>
    </row>
    <row r="370" spans="1:36" x14ac:dyDescent="0.2">
      <c r="A370" s="190" t="s">
        <v>86</v>
      </c>
      <c r="B370" s="642">
        <v>8</v>
      </c>
      <c r="C370" s="184">
        <v>0</v>
      </c>
      <c r="D370" s="184">
        <v>6</v>
      </c>
      <c r="E370" s="184">
        <v>0</v>
      </c>
      <c r="F370" s="184">
        <v>1</v>
      </c>
      <c r="G370" s="184">
        <v>1</v>
      </c>
      <c r="H370" s="184">
        <v>0</v>
      </c>
      <c r="I370" s="184">
        <v>0</v>
      </c>
      <c r="J370" s="184">
        <v>0</v>
      </c>
      <c r="K370" s="184">
        <v>0</v>
      </c>
      <c r="L370" s="184">
        <v>0</v>
      </c>
      <c r="M370" s="616" t="s">
        <v>24</v>
      </c>
      <c r="N370" s="585" t="s">
        <v>86</v>
      </c>
      <c r="O370" s="191">
        <v>0</v>
      </c>
      <c r="P370" s="184">
        <v>0</v>
      </c>
      <c r="Q370" s="184">
        <v>0</v>
      </c>
      <c r="R370" s="184">
        <v>1</v>
      </c>
      <c r="S370" s="184">
        <v>2</v>
      </c>
      <c r="T370" s="184">
        <v>1</v>
      </c>
      <c r="U370" s="184">
        <v>3</v>
      </c>
      <c r="V370" s="184">
        <v>1</v>
      </c>
      <c r="W370" s="184">
        <v>0</v>
      </c>
      <c r="X370" s="184">
        <v>0</v>
      </c>
      <c r="Y370" s="184">
        <v>0</v>
      </c>
      <c r="Z370" s="184">
        <v>0</v>
      </c>
      <c r="AA370" s="184">
        <v>0</v>
      </c>
      <c r="AB370" s="184">
        <v>0</v>
      </c>
      <c r="AC370" s="185">
        <v>33.6</v>
      </c>
      <c r="AD370" s="185" t="s">
        <v>24</v>
      </c>
      <c r="AE370" s="184">
        <v>0</v>
      </c>
      <c r="AF370" s="185">
        <v>0</v>
      </c>
      <c r="AG370" s="184">
        <v>0</v>
      </c>
      <c r="AH370" s="185">
        <v>0</v>
      </c>
      <c r="AI370" s="184">
        <v>0</v>
      </c>
      <c r="AJ370" s="643">
        <v>0</v>
      </c>
    </row>
    <row r="371" spans="1:36" x14ac:dyDescent="0.2">
      <c r="A371" s="190" t="s">
        <v>87</v>
      </c>
      <c r="B371" s="642">
        <v>13</v>
      </c>
      <c r="C371" s="184">
        <v>0</v>
      </c>
      <c r="D371" s="184">
        <v>9</v>
      </c>
      <c r="E371" s="184">
        <v>0</v>
      </c>
      <c r="F371" s="184">
        <v>4</v>
      </c>
      <c r="G371" s="184">
        <v>0</v>
      </c>
      <c r="H371" s="184">
        <v>0</v>
      </c>
      <c r="I371" s="184">
        <v>0</v>
      </c>
      <c r="J371" s="184">
        <v>0</v>
      </c>
      <c r="K371" s="184">
        <v>0</v>
      </c>
      <c r="L371" s="184">
        <v>0</v>
      </c>
      <c r="M371" s="616" t="s">
        <v>24</v>
      </c>
      <c r="N371" s="585" t="s">
        <v>87</v>
      </c>
      <c r="O371" s="191">
        <v>0</v>
      </c>
      <c r="P371" s="184">
        <v>1</v>
      </c>
      <c r="Q371" s="184">
        <v>3</v>
      </c>
      <c r="R371" s="184">
        <v>1</v>
      </c>
      <c r="S371" s="184">
        <v>2</v>
      </c>
      <c r="T371" s="184">
        <v>3</v>
      </c>
      <c r="U371" s="184">
        <v>1</v>
      </c>
      <c r="V371" s="184">
        <v>0</v>
      </c>
      <c r="W371" s="184">
        <v>1</v>
      </c>
      <c r="X371" s="184">
        <v>1</v>
      </c>
      <c r="Y371" s="184">
        <v>0</v>
      </c>
      <c r="Z371" s="184">
        <v>0</v>
      </c>
      <c r="AA371" s="184">
        <v>0</v>
      </c>
      <c r="AB371" s="184">
        <v>0</v>
      </c>
      <c r="AC371" s="185">
        <v>29.3</v>
      </c>
      <c r="AD371" s="185">
        <v>47.8</v>
      </c>
      <c r="AE371" s="184">
        <v>0</v>
      </c>
      <c r="AF371" s="185">
        <v>0</v>
      </c>
      <c r="AG371" s="184">
        <v>0</v>
      </c>
      <c r="AH371" s="185">
        <v>0</v>
      </c>
      <c r="AI371" s="184">
        <v>0</v>
      </c>
      <c r="AJ371" s="643">
        <v>0</v>
      </c>
    </row>
    <row r="372" spans="1:36" x14ac:dyDescent="0.2">
      <c r="A372" s="190" t="s">
        <v>53</v>
      </c>
      <c r="B372" s="646">
        <v>15</v>
      </c>
      <c r="C372" s="186">
        <v>0</v>
      </c>
      <c r="D372" s="186">
        <v>13</v>
      </c>
      <c r="E372" s="186">
        <v>0</v>
      </c>
      <c r="F372" s="186">
        <v>2</v>
      </c>
      <c r="G372" s="186">
        <v>0</v>
      </c>
      <c r="H372" s="186">
        <v>0</v>
      </c>
      <c r="I372" s="186">
        <v>0</v>
      </c>
      <c r="J372" s="186">
        <v>0</v>
      </c>
      <c r="K372" s="186">
        <v>0</v>
      </c>
      <c r="L372" s="186">
        <v>0</v>
      </c>
      <c r="M372" s="618" t="s">
        <v>24</v>
      </c>
      <c r="N372" s="585" t="s">
        <v>53</v>
      </c>
      <c r="O372" s="567">
        <v>0</v>
      </c>
      <c r="P372" s="186">
        <v>0</v>
      </c>
      <c r="Q372" s="186">
        <v>1</v>
      </c>
      <c r="R372" s="186">
        <v>2</v>
      </c>
      <c r="S372" s="186">
        <v>1</v>
      </c>
      <c r="T372" s="186">
        <v>8</v>
      </c>
      <c r="U372" s="186">
        <v>2</v>
      </c>
      <c r="V372" s="186">
        <v>1</v>
      </c>
      <c r="W372" s="186">
        <v>0</v>
      </c>
      <c r="X372" s="186">
        <v>0</v>
      </c>
      <c r="Y372" s="186">
        <v>0</v>
      </c>
      <c r="Z372" s="186">
        <v>0</v>
      </c>
      <c r="AA372" s="186">
        <v>0</v>
      </c>
      <c r="AB372" s="186">
        <v>0</v>
      </c>
      <c r="AC372" s="187">
        <v>31.2</v>
      </c>
      <c r="AD372" s="187">
        <v>38.4</v>
      </c>
      <c r="AE372" s="186">
        <v>0</v>
      </c>
      <c r="AF372" s="187">
        <v>0</v>
      </c>
      <c r="AG372" s="186">
        <v>0</v>
      </c>
      <c r="AH372" s="187">
        <v>0</v>
      </c>
      <c r="AI372" s="186">
        <v>0</v>
      </c>
      <c r="AJ372" s="647">
        <v>0</v>
      </c>
    </row>
    <row r="373" spans="1:36" x14ac:dyDescent="0.2">
      <c r="A373" s="190" t="s">
        <v>88</v>
      </c>
      <c r="B373" s="642">
        <v>6</v>
      </c>
      <c r="C373" s="184">
        <v>0</v>
      </c>
      <c r="D373" s="184">
        <v>6</v>
      </c>
      <c r="E373" s="184">
        <v>0</v>
      </c>
      <c r="F373" s="184">
        <v>0</v>
      </c>
      <c r="G373" s="184">
        <v>0</v>
      </c>
      <c r="H373" s="184">
        <v>0</v>
      </c>
      <c r="I373" s="184">
        <v>0</v>
      </c>
      <c r="J373" s="184">
        <v>0</v>
      </c>
      <c r="K373" s="184">
        <v>0</v>
      </c>
      <c r="L373" s="184">
        <v>0</v>
      </c>
      <c r="M373" s="616" t="s">
        <v>24</v>
      </c>
      <c r="N373" s="585" t="s">
        <v>88</v>
      </c>
      <c r="O373" s="191">
        <v>0</v>
      </c>
      <c r="P373" s="184">
        <v>0</v>
      </c>
      <c r="Q373" s="184">
        <v>0</v>
      </c>
      <c r="R373" s="184">
        <v>0</v>
      </c>
      <c r="S373" s="184">
        <v>0</v>
      </c>
      <c r="T373" s="184">
        <v>2</v>
      </c>
      <c r="U373" s="184">
        <v>1</v>
      </c>
      <c r="V373" s="184">
        <v>2</v>
      </c>
      <c r="W373" s="184">
        <v>0</v>
      </c>
      <c r="X373" s="184">
        <v>1</v>
      </c>
      <c r="Y373" s="184">
        <v>0</v>
      </c>
      <c r="Z373" s="184">
        <v>0</v>
      </c>
      <c r="AA373" s="184">
        <v>0</v>
      </c>
      <c r="AB373" s="184">
        <v>0</v>
      </c>
      <c r="AC373" s="185">
        <v>39</v>
      </c>
      <c r="AD373" s="185" t="s">
        <v>24</v>
      </c>
      <c r="AE373" s="184">
        <v>0</v>
      </c>
      <c r="AF373" s="185">
        <v>0</v>
      </c>
      <c r="AG373" s="184">
        <v>0</v>
      </c>
      <c r="AH373" s="185">
        <v>0</v>
      </c>
      <c r="AI373" s="184">
        <v>0</v>
      </c>
      <c r="AJ373" s="643">
        <v>0</v>
      </c>
    </row>
    <row r="374" spans="1:36" x14ac:dyDescent="0.2">
      <c r="A374" s="190" t="s">
        <v>89</v>
      </c>
      <c r="B374" s="642">
        <v>7</v>
      </c>
      <c r="C374" s="184">
        <v>0</v>
      </c>
      <c r="D374" s="184">
        <v>7</v>
      </c>
      <c r="E374" s="184">
        <v>0</v>
      </c>
      <c r="F374" s="184">
        <v>0</v>
      </c>
      <c r="G374" s="184">
        <v>0</v>
      </c>
      <c r="H374" s="184">
        <v>0</v>
      </c>
      <c r="I374" s="184">
        <v>0</v>
      </c>
      <c r="J374" s="184">
        <v>0</v>
      </c>
      <c r="K374" s="184">
        <v>0</v>
      </c>
      <c r="L374" s="184">
        <v>0</v>
      </c>
      <c r="M374" s="616" t="s">
        <v>24</v>
      </c>
      <c r="N374" s="585" t="s">
        <v>89</v>
      </c>
      <c r="O374" s="191">
        <v>0</v>
      </c>
      <c r="P374" s="184">
        <v>0</v>
      </c>
      <c r="Q374" s="184">
        <v>0</v>
      </c>
      <c r="R374" s="184">
        <v>1</v>
      </c>
      <c r="S374" s="184">
        <v>1</v>
      </c>
      <c r="T374" s="184">
        <v>2</v>
      </c>
      <c r="U374" s="184">
        <v>3</v>
      </c>
      <c r="V374" s="184">
        <v>0</v>
      </c>
      <c r="W374" s="184">
        <v>0</v>
      </c>
      <c r="X374" s="184">
        <v>0</v>
      </c>
      <c r="Y374" s="184">
        <v>0</v>
      </c>
      <c r="Z374" s="184">
        <v>0</v>
      </c>
      <c r="AA374" s="184">
        <v>0</v>
      </c>
      <c r="AB374" s="184">
        <v>0</v>
      </c>
      <c r="AC374" s="185">
        <v>32.6</v>
      </c>
      <c r="AD374" s="185" t="s">
        <v>24</v>
      </c>
      <c r="AE374" s="184">
        <v>0</v>
      </c>
      <c r="AF374" s="185">
        <v>0</v>
      </c>
      <c r="AG374" s="184">
        <v>0</v>
      </c>
      <c r="AH374" s="185">
        <v>0</v>
      </c>
      <c r="AI374" s="184">
        <v>0</v>
      </c>
      <c r="AJ374" s="643">
        <v>0</v>
      </c>
    </row>
    <row r="375" spans="1:36" x14ac:dyDescent="0.2">
      <c r="A375" s="190" t="s">
        <v>90</v>
      </c>
      <c r="B375" s="642">
        <v>10</v>
      </c>
      <c r="C375" s="184">
        <v>0</v>
      </c>
      <c r="D375" s="184">
        <v>10</v>
      </c>
      <c r="E375" s="184">
        <v>0</v>
      </c>
      <c r="F375" s="184">
        <v>0</v>
      </c>
      <c r="G375" s="184">
        <v>0</v>
      </c>
      <c r="H375" s="184">
        <v>0</v>
      </c>
      <c r="I375" s="184">
        <v>0</v>
      </c>
      <c r="J375" s="184">
        <v>0</v>
      </c>
      <c r="K375" s="184">
        <v>0</v>
      </c>
      <c r="L375" s="184">
        <v>0</v>
      </c>
      <c r="M375" s="616" t="s">
        <v>24</v>
      </c>
      <c r="N375" s="585" t="s">
        <v>90</v>
      </c>
      <c r="O375" s="191">
        <v>0</v>
      </c>
      <c r="P375" s="184">
        <v>0</v>
      </c>
      <c r="Q375" s="184">
        <v>0</v>
      </c>
      <c r="R375" s="184">
        <v>0</v>
      </c>
      <c r="S375" s="184">
        <v>4</v>
      </c>
      <c r="T375" s="184">
        <v>2</v>
      </c>
      <c r="U375" s="184">
        <v>0</v>
      </c>
      <c r="V375" s="184">
        <v>3</v>
      </c>
      <c r="W375" s="184">
        <v>1</v>
      </c>
      <c r="X375" s="184">
        <v>0</v>
      </c>
      <c r="Y375" s="184">
        <v>0</v>
      </c>
      <c r="Z375" s="184">
        <v>0</v>
      </c>
      <c r="AA375" s="184">
        <v>0</v>
      </c>
      <c r="AB375" s="184">
        <v>0</v>
      </c>
      <c r="AC375" s="185">
        <v>35.299999999999997</v>
      </c>
      <c r="AD375" s="185" t="s">
        <v>24</v>
      </c>
      <c r="AE375" s="184">
        <v>0</v>
      </c>
      <c r="AF375" s="185">
        <v>0</v>
      </c>
      <c r="AG375" s="184">
        <v>0</v>
      </c>
      <c r="AH375" s="185">
        <v>0</v>
      </c>
      <c r="AI375" s="184">
        <v>0</v>
      </c>
      <c r="AJ375" s="643">
        <v>0</v>
      </c>
    </row>
    <row r="376" spans="1:36" x14ac:dyDescent="0.2">
      <c r="A376" s="190" t="s">
        <v>55</v>
      </c>
      <c r="B376" s="642">
        <v>9</v>
      </c>
      <c r="C376" s="184">
        <v>0</v>
      </c>
      <c r="D376" s="184">
        <v>9</v>
      </c>
      <c r="E376" s="184">
        <v>0</v>
      </c>
      <c r="F376" s="184">
        <v>0</v>
      </c>
      <c r="G376" s="184">
        <v>0</v>
      </c>
      <c r="H376" s="184">
        <v>0</v>
      </c>
      <c r="I376" s="184">
        <v>0</v>
      </c>
      <c r="J376" s="184">
        <v>0</v>
      </c>
      <c r="K376" s="184">
        <v>0</v>
      </c>
      <c r="L376" s="184">
        <v>0</v>
      </c>
      <c r="M376" s="616" t="s">
        <v>24</v>
      </c>
      <c r="N376" s="585" t="s">
        <v>55</v>
      </c>
      <c r="O376" s="191">
        <v>0</v>
      </c>
      <c r="P376" s="184">
        <v>0</v>
      </c>
      <c r="Q376" s="184">
        <v>0</v>
      </c>
      <c r="R376" s="184">
        <v>0</v>
      </c>
      <c r="S376" s="184">
        <v>0</v>
      </c>
      <c r="T376" s="184">
        <v>0</v>
      </c>
      <c r="U376" s="184">
        <v>2</v>
      </c>
      <c r="V376" s="184">
        <v>6</v>
      </c>
      <c r="W376" s="184">
        <v>1</v>
      </c>
      <c r="X376" s="184">
        <v>0</v>
      </c>
      <c r="Y376" s="184">
        <v>0</v>
      </c>
      <c r="Z376" s="184">
        <v>0</v>
      </c>
      <c r="AA376" s="184">
        <v>0</v>
      </c>
      <c r="AB376" s="184">
        <v>0</v>
      </c>
      <c r="AC376" s="185">
        <v>42.2</v>
      </c>
      <c r="AD376" s="185" t="s">
        <v>24</v>
      </c>
      <c r="AE376" s="184">
        <v>0</v>
      </c>
      <c r="AF376" s="185">
        <v>0</v>
      </c>
      <c r="AG376" s="184">
        <v>0</v>
      </c>
      <c r="AH376" s="185">
        <v>0</v>
      </c>
      <c r="AI376" s="184">
        <v>0</v>
      </c>
      <c r="AJ376" s="643">
        <v>0</v>
      </c>
    </row>
    <row r="377" spans="1:36" x14ac:dyDescent="0.2">
      <c r="A377" s="190" t="s">
        <v>91</v>
      </c>
      <c r="B377" s="642">
        <v>10</v>
      </c>
      <c r="C377" s="184">
        <v>1</v>
      </c>
      <c r="D377" s="184">
        <v>9</v>
      </c>
      <c r="E377" s="184">
        <v>0</v>
      </c>
      <c r="F377" s="184">
        <v>0</v>
      </c>
      <c r="G377" s="184">
        <v>0</v>
      </c>
      <c r="H377" s="184">
        <v>0</v>
      </c>
      <c r="I377" s="184">
        <v>0</v>
      </c>
      <c r="J377" s="184">
        <v>0</v>
      </c>
      <c r="K377" s="184">
        <v>0</v>
      </c>
      <c r="L377" s="184">
        <v>0</v>
      </c>
      <c r="M377" s="616" t="s">
        <v>24</v>
      </c>
      <c r="N377" s="585" t="s">
        <v>91</v>
      </c>
      <c r="O377" s="191">
        <v>0</v>
      </c>
      <c r="P377" s="184">
        <v>0</v>
      </c>
      <c r="Q377" s="184">
        <v>0</v>
      </c>
      <c r="R377" s="184">
        <v>1</v>
      </c>
      <c r="S377" s="184">
        <v>1</v>
      </c>
      <c r="T377" s="184">
        <v>0</v>
      </c>
      <c r="U377" s="184">
        <v>5</v>
      </c>
      <c r="V377" s="184">
        <v>2</v>
      </c>
      <c r="W377" s="184">
        <v>1</v>
      </c>
      <c r="X377" s="184">
        <v>0</v>
      </c>
      <c r="Y377" s="184">
        <v>0</v>
      </c>
      <c r="Z377" s="184">
        <v>0</v>
      </c>
      <c r="AA377" s="184">
        <v>0</v>
      </c>
      <c r="AB377" s="184">
        <v>0</v>
      </c>
      <c r="AC377" s="185">
        <v>37.299999999999997</v>
      </c>
      <c r="AD377" s="185" t="s">
        <v>24</v>
      </c>
      <c r="AE377" s="184">
        <v>0</v>
      </c>
      <c r="AF377" s="185">
        <v>0</v>
      </c>
      <c r="AG377" s="184">
        <v>0</v>
      </c>
      <c r="AH377" s="185">
        <v>0</v>
      </c>
      <c r="AI377" s="184">
        <v>0</v>
      </c>
      <c r="AJ377" s="643">
        <v>0</v>
      </c>
    </row>
    <row r="378" spans="1:36" x14ac:dyDescent="0.2">
      <c r="A378" s="190" t="s">
        <v>92</v>
      </c>
      <c r="B378" s="642">
        <v>10</v>
      </c>
      <c r="C378" s="184">
        <v>0</v>
      </c>
      <c r="D378" s="184">
        <v>8</v>
      </c>
      <c r="E378" s="184">
        <v>1</v>
      </c>
      <c r="F378" s="184">
        <v>1</v>
      </c>
      <c r="G378" s="184">
        <v>0</v>
      </c>
      <c r="H378" s="184">
        <v>0</v>
      </c>
      <c r="I378" s="184">
        <v>0</v>
      </c>
      <c r="J378" s="184">
        <v>0</v>
      </c>
      <c r="K378" s="184">
        <v>0</v>
      </c>
      <c r="L378" s="184">
        <v>0</v>
      </c>
      <c r="M378" s="616" t="s">
        <v>24</v>
      </c>
      <c r="N378" s="585" t="s">
        <v>92</v>
      </c>
      <c r="O378" s="191">
        <v>0</v>
      </c>
      <c r="P378" s="184">
        <v>1</v>
      </c>
      <c r="Q378" s="184">
        <v>0</v>
      </c>
      <c r="R378" s="184">
        <v>0</v>
      </c>
      <c r="S378" s="184">
        <v>1</v>
      </c>
      <c r="T378" s="184">
        <v>1</v>
      </c>
      <c r="U378" s="184">
        <v>2</v>
      </c>
      <c r="V378" s="184">
        <v>4</v>
      </c>
      <c r="W378" s="184">
        <v>1</v>
      </c>
      <c r="X378" s="184">
        <v>0</v>
      </c>
      <c r="Y378" s="184">
        <v>0</v>
      </c>
      <c r="Z378" s="184">
        <v>0</v>
      </c>
      <c r="AA378" s="184">
        <v>0</v>
      </c>
      <c r="AB378" s="184">
        <v>0</v>
      </c>
      <c r="AC378" s="185">
        <v>37.6</v>
      </c>
      <c r="AD378" s="185" t="s">
        <v>24</v>
      </c>
      <c r="AE378" s="184">
        <v>0</v>
      </c>
      <c r="AF378" s="185">
        <v>0</v>
      </c>
      <c r="AG378" s="184">
        <v>0</v>
      </c>
      <c r="AH378" s="185">
        <v>0</v>
      </c>
      <c r="AI378" s="184">
        <v>0</v>
      </c>
      <c r="AJ378" s="643">
        <v>0</v>
      </c>
    </row>
    <row r="379" spans="1:36" x14ac:dyDescent="0.2">
      <c r="A379" s="190" t="s">
        <v>93</v>
      </c>
      <c r="B379" s="642">
        <v>3</v>
      </c>
      <c r="C379" s="184">
        <v>0</v>
      </c>
      <c r="D379" s="184">
        <v>2</v>
      </c>
      <c r="E379" s="184">
        <v>0</v>
      </c>
      <c r="F379" s="184">
        <v>0</v>
      </c>
      <c r="G379" s="184">
        <v>0</v>
      </c>
      <c r="H379" s="184">
        <v>0</v>
      </c>
      <c r="I379" s="184">
        <v>0</v>
      </c>
      <c r="J379" s="184">
        <v>1</v>
      </c>
      <c r="K379" s="184">
        <v>0</v>
      </c>
      <c r="L379" s="184">
        <v>0</v>
      </c>
      <c r="M379" s="616" t="s">
        <v>24</v>
      </c>
      <c r="N379" s="585" t="s">
        <v>93</v>
      </c>
      <c r="O379" s="191">
        <v>0</v>
      </c>
      <c r="P379" s="184">
        <v>0</v>
      </c>
      <c r="Q379" s="184">
        <v>0</v>
      </c>
      <c r="R379" s="184">
        <v>0</v>
      </c>
      <c r="S379" s="184">
        <v>0</v>
      </c>
      <c r="T379" s="184">
        <v>0</v>
      </c>
      <c r="U379" s="184">
        <v>1</v>
      </c>
      <c r="V379" s="184">
        <v>2</v>
      </c>
      <c r="W379" s="184">
        <v>0</v>
      </c>
      <c r="X379" s="184">
        <v>0</v>
      </c>
      <c r="Y379" s="184">
        <v>0</v>
      </c>
      <c r="Z379" s="184">
        <v>0</v>
      </c>
      <c r="AA379" s="184">
        <v>0</v>
      </c>
      <c r="AB379" s="184">
        <v>0</v>
      </c>
      <c r="AC379" s="185">
        <v>40.700000000000003</v>
      </c>
      <c r="AD379" s="185" t="s">
        <v>24</v>
      </c>
      <c r="AE379" s="184">
        <v>0</v>
      </c>
      <c r="AF379" s="185">
        <v>0</v>
      </c>
      <c r="AG379" s="184">
        <v>0</v>
      </c>
      <c r="AH379" s="185">
        <v>0</v>
      </c>
      <c r="AI379" s="184">
        <v>0</v>
      </c>
      <c r="AJ379" s="643">
        <v>0</v>
      </c>
    </row>
    <row r="380" spans="1:36" x14ac:dyDescent="0.2">
      <c r="A380" s="190" t="s">
        <v>57</v>
      </c>
      <c r="B380" s="642">
        <v>16</v>
      </c>
      <c r="C380" s="184">
        <v>0</v>
      </c>
      <c r="D380" s="184">
        <v>12</v>
      </c>
      <c r="E380" s="184">
        <v>0</v>
      </c>
      <c r="F380" s="184">
        <v>3</v>
      </c>
      <c r="G380" s="184">
        <v>1</v>
      </c>
      <c r="H380" s="184">
        <v>0</v>
      </c>
      <c r="I380" s="184">
        <v>0</v>
      </c>
      <c r="J380" s="184">
        <v>0</v>
      </c>
      <c r="K380" s="184">
        <v>0</v>
      </c>
      <c r="L380" s="184">
        <v>0</v>
      </c>
      <c r="M380" s="616" t="s">
        <v>24</v>
      </c>
      <c r="N380" s="585" t="s">
        <v>57</v>
      </c>
      <c r="O380" s="191">
        <v>0</v>
      </c>
      <c r="P380" s="184">
        <v>0</v>
      </c>
      <c r="Q380" s="184">
        <v>0</v>
      </c>
      <c r="R380" s="184">
        <v>0</v>
      </c>
      <c r="S380" s="184">
        <v>0</v>
      </c>
      <c r="T380" s="184">
        <v>2</v>
      </c>
      <c r="U380" s="184">
        <v>6</v>
      </c>
      <c r="V380" s="184">
        <v>4</v>
      </c>
      <c r="W380" s="184">
        <v>3</v>
      </c>
      <c r="X380" s="184">
        <v>1</v>
      </c>
      <c r="Y380" s="184">
        <v>0</v>
      </c>
      <c r="Z380" s="184">
        <v>0</v>
      </c>
      <c r="AA380" s="184">
        <v>0</v>
      </c>
      <c r="AB380" s="184">
        <v>0</v>
      </c>
      <c r="AC380" s="185">
        <v>41.2</v>
      </c>
      <c r="AD380" s="185">
        <v>47.7</v>
      </c>
      <c r="AE380" s="184">
        <v>0</v>
      </c>
      <c r="AF380" s="185">
        <v>0</v>
      </c>
      <c r="AG380" s="184">
        <v>0</v>
      </c>
      <c r="AH380" s="185">
        <v>0</v>
      </c>
      <c r="AI380" s="184">
        <v>0</v>
      </c>
      <c r="AJ380" s="643">
        <v>0</v>
      </c>
    </row>
    <row r="381" spans="1:36" x14ac:dyDescent="0.2">
      <c r="A381" s="190" t="s">
        <v>94</v>
      </c>
      <c r="B381" s="642">
        <v>12</v>
      </c>
      <c r="C381" s="184">
        <v>0</v>
      </c>
      <c r="D381" s="184">
        <v>10</v>
      </c>
      <c r="E381" s="184">
        <v>0</v>
      </c>
      <c r="F381" s="184">
        <v>2</v>
      </c>
      <c r="G381" s="184">
        <v>0</v>
      </c>
      <c r="H381" s="184">
        <v>0</v>
      </c>
      <c r="I381" s="184">
        <v>0</v>
      </c>
      <c r="J381" s="184">
        <v>0</v>
      </c>
      <c r="K381" s="184">
        <v>0</v>
      </c>
      <c r="L381" s="184">
        <v>0</v>
      </c>
      <c r="M381" s="616" t="s">
        <v>24</v>
      </c>
      <c r="N381" s="585" t="s">
        <v>94</v>
      </c>
      <c r="O381" s="191">
        <v>0</v>
      </c>
      <c r="P381" s="184">
        <v>1</v>
      </c>
      <c r="Q381" s="184">
        <v>0</v>
      </c>
      <c r="R381" s="184">
        <v>0</v>
      </c>
      <c r="S381" s="184">
        <v>0</v>
      </c>
      <c r="T381" s="184">
        <v>1</v>
      </c>
      <c r="U381" s="184">
        <v>3</v>
      </c>
      <c r="V381" s="184">
        <v>6</v>
      </c>
      <c r="W381" s="184">
        <v>1</v>
      </c>
      <c r="X381" s="184">
        <v>0</v>
      </c>
      <c r="Y381" s="184">
        <v>0</v>
      </c>
      <c r="Z381" s="184">
        <v>0</v>
      </c>
      <c r="AA381" s="184">
        <v>0</v>
      </c>
      <c r="AB381" s="184">
        <v>0</v>
      </c>
      <c r="AC381" s="185">
        <v>37.700000000000003</v>
      </c>
      <c r="AD381" s="185">
        <v>44.3</v>
      </c>
      <c r="AE381" s="184">
        <v>0</v>
      </c>
      <c r="AF381" s="185">
        <v>0</v>
      </c>
      <c r="AG381" s="184">
        <v>0</v>
      </c>
      <c r="AH381" s="185">
        <v>0</v>
      </c>
      <c r="AI381" s="184">
        <v>0</v>
      </c>
      <c r="AJ381" s="643">
        <v>0</v>
      </c>
    </row>
    <row r="382" spans="1:36" x14ac:dyDescent="0.2">
      <c r="A382" s="190" t="s">
        <v>95</v>
      </c>
      <c r="B382" s="642">
        <v>15</v>
      </c>
      <c r="C382" s="184">
        <v>0</v>
      </c>
      <c r="D382" s="184">
        <v>12</v>
      </c>
      <c r="E382" s="184">
        <v>0</v>
      </c>
      <c r="F382" s="184">
        <v>2</v>
      </c>
      <c r="G382" s="184">
        <v>0</v>
      </c>
      <c r="H382" s="184">
        <v>0</v>
      </c>
      <c r="I382" s="184">
        <v>0</v>
      </c>
      <c r="J382" s="184">
        <v>0</v>
      </c>
      <c r="K382" s="184">
        <v>1</v>
      </c>
      <c r="L382" s="184">
        <v>0</v>
      </c>
      <c r="M382" s="616" t="s">
        <v>24</v>
      </c>
      <c r="N382" s="585" t="s">
        <v>95</v>
      </c>
      <c r="O382" s="191">
        <v>0</v>
      </c>
      <c r="P382" s="184">
        <v>0</v>
      </c>
      <c r="Q382" s="184">
        <v>0</v>
      </c>
      <c r="R382" s="184">
        <v>0</v>
      </c>
      <c r="S382" s="184">
        <v>3</v>
      </c>
      <c r="T382" s="184">
        <v>2</v>
      </c>
      <c r="U382" s="184">
        <v>3</v>
      </c>
      <c r="V382" s="184">
        <v>3</v>
      </c>
      <c r="W382" s="184">
        <v>3</v>
      </c>
      <c r="X382" s="184">
        <v>1</v>
      </c>
      <c r="Y382" s="184">
        <v>0</v>
      </c>
      <c r="Z382" s="184">
        <v>0</v>
      </c>
      <c r="AA382" s="184">
        <v>0</v>
      </c>
      <c r="AB382" s="184">
        <v>0</v>
      </c>
      <c r="AC382" s="185">
        <v>39.200000000000003</v>
      </c>
      <c r="AD382" s="185">
        <v>49</v>
      </c>
      <c r="AE382" s="184">
        <v>0</v>
      </c>
      <c r="AF382" s="185">
        <v>0</v>
      </c>
      <c r="AG382" s="184">
        <v>0</v>
      </c>
      <c r="AH382" s="185">
        <v>0</v>
      </c>
      <c r="AI382" s="184">
        <v>0</v>
      </c>
      <c r="AJ382" s="643">
        <v>0</v>
      </c>
    </row>
    <row r="383" spans="1:36" x14ac:dyDescent="0.2">
      <c r="A383" s="190" t="s">
        <v>96</v>
      </c>
      <c r="B383" s="642">
        <v>13</v>
      </c>
      <c r="C383" s="184">
        <v>0</v>
      </c>
      <c r="D383" s="184">
        <v>13</v>
      </c>
      <c r="E383" s="184">
        <v>0</v>
      </c>
      <c r="F383" s="184">
        <v>0</v>
      </c>
      <c r="G383" s="184">
        <v>0</v>
      </c>
      <c r="H383" s="184">
        <v>0</v>
      </c>
      <c r="I383" s="184">
        <v>0</v>
      </c>
      <c r="J383" s="184">
        <v>0</v>
      </c>
      <c r="K383" s="184">
        <v>0</v>
      </c>
      <c r="L383" s="184">
        <v>0</v>
      </c>
      <c r="M383" s="616" t="s">
        <v>24</v>
      </c>
      <c r="N383" s="585" t="s">
        <v>96</v>
      </c>
      <c r="O383" s="191">
        <v>1</v>
      </c>
      <c r="P383" s="184">
        <v>0</v>
      </c>
      <c r="Q383" s="184">
        <v>0</v>
      </c>
      <c r="R383" s="184">
        <v>0</v>
      </c>
      <c r="S383" s="184">
        <v>0</v>
      </c>
      <c r="T383" s="184">
        <v>0</v>
      </c>
      <c r="U383" s="184">
        <v>5</v>
      </c>
      <c r="V383" s="184">
        <v>5</v>
      </c>
      <c r="W383" s="184">
        <v>2</v>
      </c>
      <c r="X383" s="184">
        <v>0</v>
      </c>
      <c r="Y383" s="184">
        <v>0</v>
      </c>
      <c r="Z383" s="184">
        <v>0</v>
      </c>
      <c r="AA383" s="184">
        <v>0</v>
      </c>
      <c r="AB383" s="184">
        <v>0</v>
      </c>
      <c r="AC383" s="185">
        <v>38.5</v>
      </c>
      <c r="AD383" s="185">
        <v>45.1</v>
      </c>
      <c r="AE383" s="184">
        <v>0</v>
      </c>
      <c r="AF383" s="185">
        <v>0</v>
      </c>
      <c r="AG383" s="184">
        <v>0</v>
      </c>
      <c r="AH383" s="185">
        <v>0</v>
      </c>
      <c r="AI383" s="184">
        <v>0</v>
      </c>
      <c r="AJ383" s="643">
        <v>0</v>
      </c>
    </row>
    <row r="384" spans="1:36" x14ac:dyDescent="0.2">
      <c r="A384" s="190" t="s">
        <v>58</v>
      </c>
      <c r="B384" s="642">
        <v>14</v>
      </c>
      <c r="C384" s="184">
        <v>1</v>
      </c>
      <c r="D384" s="184">
        <v>9</v>
      </c>
      <c r="E384" s="184">
        <v>0</v>
      </c>
      <c r="F384" s="184">
        <v>3</v>
      </c>
      <c r="G384" s="184">
        <v>0</v>
      </c>
      <c r="H384" s="184">
        <v>0</v>
      </c>
      <c r="I384" s="184">
        <v>0</v>
      </c>
      <c r="J384" s="184">
        <v>0</v>
      </c>
      <c r="K384" s="184">
        <v>0</v>
      </c>
      <c r="L384" s="184">
        <v>1</v>
      </c>
      <c r="M384" s="616" t="s">
        <v>24</v>
      </c>
      <c r="N384" s="585" t="s">
        <v>58</v>
      </c>
      <c r="O384" s="191">
        <v>0</v>
      </c>
      <c r="P384" s="184">
        <v>0</v>
      </c>
      <c r="Q384" s="184">
        <v>2</v>
      </c>
      <c r="R384" s="184">
        <v>0</v>
      </c>
      <c r="S384" s="184">
        <v>1</v>
      </c>
      <c r="T384" s="184">
        <v>1</v>
      </c>
      <c r="U384" s="184">
        <v>3</v>
      </c>
      <c r="V384" s="184">
        <v>3</v>
      </c>
      <c r="W384" s="184">
        <v>0</v>
      </c>
      <c r="X384" s="184">
        <v>4</v>
      </c>
      <c r="Y384" s="184">
        <v>0</v>
      </c>
      <c r="Z384" s="184">
        <v>0</v>
      </c>
      <c r="AA384" s="184">
        <v>0</v>
      </c>
      <c r="AB384" s="184">
        <v>0</v>
      </c>
      <c r="AC384" s="185">
        <v>39.700000000000003</v>
      </c>
      <c r="AD384" s="185">
        <v>55</v>
      </c>
      <c r="AE384" s="184">
        <v>0</v>
      </c>
      <c r="AF384" s="185">
        <v>0</v>
      </c>
      <c r="AG384" s="184">
        <v>0</v>
      </c>
      <c r="AH384" s="185">
        <v>0</v>
      </c>
      <c r="AI384" s="184">
        <v>0</v>
      </c>
      <c r="AJ384" s="643">
        <v>0</v>
      </c>
    </row>
    <row r="385" spans="1:36" x14ac:dyDescent="0.2">
      <c r="A385" s="190" t="s">
        <v>97</v>
      </c>
      <c r="B385" s="642">
        <v>13</v>
      </c>
      <c r="C385" s="184">
        <v>0</v>
      </c>
      <c r="D385" s="184">
        <v>10</v>
      </c>
      <c r="E385" s="184">
        <v>0</v>
      </c>
      <c r="F385" s="184">
        <v>3</v>
      </c>
      <c r="G385" s="184">
        <v>0</v>
      </c>
      <c r="H385" s="184">
        <v>0</v>
      </c>
      <c r="I385" s="184">
        <v>0</v>
      </c>
      <c r="J385" s="184">
        <v>0</v>
      </c>
      <c r="K385" s="184">
        <v>0</v>
      </c>
      <c r="L385" s="184">
        <v>0</v>
      </c>
      <c r="M385" s="616" t="s">
        <v>24</v>
      </c>
      <c r="N385" s="585" t="s">
        <v>97</v>
      </c>
      <c r="O385" s="191">
        <v>0</v>
      </c>
      <c r="P385" s="184">
        <v>0</v>
      </c>
      <c r="Q385" s="184">
        <v>0</v>
      </c>
      <c r="R385" s="184">
        <v>0</v>
      </c>
      <c r="S385" s="184">
        <v>0</v>
      </c>
      <c r="T385" s="184">
        <v>2</v>
      </c>
      <c r="U385" s="184">
        <v>1</v>
      </c>
      <c r="V385" s="184">
        <v>2</v>
      </c>
      <c r="W385" s="184">
        <v>5</v>
      </c>
      <c r="X385" s="184">
        <v>2</v>
      </c>
      <c r="Y385" s="184">
        <v>1</v>
      </c>
      <c r="Z385" s="184">
        <v>0</v>
      </c>
      <c r="AA385" s="184">
        <v>0</v>
      </c>
      <c r="AB385" s="184">
        <v>0</v>
      </c>
      <c r="AC385" s="185">
        <v>44.9</v>
      </c>
      <c r="AD385" s="185">
        <v>51.4</v>
      </c>
      <c r="AE385" s="184">
        <v>1</v>
      </c>
      <c r="AF385" s="185">
        <v>7.6923076923076925</v>
      </c>
      <c r="AG385" s="184">
        <v>0</v>
      </c>
      <c r="AH385" s="185">
        <v>0</v>
      </c>
      <c r="AI385" s="184">
        <v>0</v>
      </c>
      <c r="AJ385" s="643">
        <v>0</v>
      </c>
    </row>
    <row r="386" spans="1:36" x14ac:dyDescent="0.2">
      <c r="A386" s="190" t="s">
        <v>98</v>
      </c>
      <c r="B386" s="642">
        <v>14</v>
      </c>
      <c r="C386" s="184">
        <v>1</v>
      </c>
      <c r="D386" s="184">
        <v>10</v>
      </c>
      <c r="E386" s="184">
        <v>0</v>
      </c>
      <c r="F386" s="184">
        <v>3</v>
      </c>
      <c r="G386" s="184">
        <v>0</v>
      </c>
      <c r="H386" s="184">
        <v>0</v>
      </c>
      <c r="I386" s="184">
        <v>0</v>
      </c>
      <c r="J386" s="184">
        <v>0</v>
      </c>
      <c r="K386" s="184">
        <v>0</v>
      </c>
      <c r="L386" s="184">
        <v>0</v>
      </c>
      <c r="M386" s="616" t="s">
        <v>24</v>
      </c>
      <c r="N386" s="585" t="s">
        <v>98</v>
      </c>
      <c r="O386" s="191">
        <v>0</v>
      </c>
      <c r="P386" s="184">
        <v>1</v>
      </c>
      <c r="Q386" s="184">
        <v>0</v>
      </c>
      <c r="R386" s="184">
        <v>0</v>
      </c>
      <c r="S386" s="184">
        <v>0</v>
      </c>
      <c r="T386" s="184">
        <v>3</v>
      </c>
      <c r="U386" s="184">
        <v>3</v>
      </c>
      <c r="V386" s="184">
        <v>2</v>
      </c>
      <c r="W386" s="184">
        <v>2</v>
      </c>
      <c r="X386" s="184">
        <v>3</v>
      </c>
      <c r="Y386" s="184">
        <v>0</v>
      </c>
      <c r="Z386" s="184">
        <v>0</v>
      </c>
      <c r="AA386" s="184">
        <v>0</v>
      </c>
      <c r="AB386" s="184">
        <v>0</v>
      </c>
      <c r="AC386" s="185">
        <v>40.200000000000003</v>
      </c>
      <c r="AD386" s="185">
        <v>53.1</v>
      </c>
      <c r="AE386" s="184">
        <v>0</v>
      </c>
      <c r="AF386" s="185">
        <v>0</v>
      </c>
      <c r="AG386" s="184">
        <v>0</v>
      </c>
      <c r="AH386" s="185">
        <v>0</v>
      </c>
      <c r="AI386" s="184">
        <v>0</v>
      </c>
      <c r="AJ386" s="643">
        <v>0</v>
      </c>
    </row>
    <row r="387" spans="1:36" x14ac:dyDescent="0.2">
      <c r="A387" s="190" t="s">
        <v>99</v>
      </c>
      <c r="B387" s="642">
        <v>17</v>
      </c>
      <c r="C387" s="184">
        <v>0</v>
      </c>
      <c r="D387" s="184">
        <v>13</v>
      </c>
      <c r="E387" s="184">
        <v>0</v>
      </c>
      <c r="F387" s="184">
        <v>4</v>
      </c>
      <c r="G387" s="184">
        <v>0</v>
      </c>
      <c r="H387" s="184">
        <v>0</v>
      </c>
      <c r="I387" s="184">
        <v>0</v>
      </c>
      <c r="J387" s="184">
        <v>0</v>
      </c>
      <c r="K387" s="184">
        <v>0</v>
      </c>
      <c r="L387" s="184">
        <v>0</v>
      </c>
      <c r="M387" s="616" t="s">
        <v>24</v>
      </c>
      <c r="N387" s="585" t="s">
        <v>99</v>
      </c>
      <c r="O387" s="191">
        <v>0</v>
      </c>
      <c r="P387" s="184">
        <v>0</v>
      </c>
      <c r="Q387" s="184">
        <v>0</v>
      </c>
      <c r="R387" s="184">
        <v>0</v>
      </c>
      <c r="S387" s="184">
        <v>0</v>
      </c>
      <c r="T387" s="184">
        <v>2</v>
      </c>
      <c r="U387" s="184">
        <v>5</v>
      </c>
      <c r="V387" s="184">
        <v>4</v>
      </c>
      <c r="W387" s="184">
        <v>4</v>
      </c>
      <c r="X387" s="184">
        <v>2</v>
      </c>
      <c r="Y387" s="184">
        <v>0</v>
      </c>
      <c r="Z387" s="184">
        <v>0</v>
      </c>
      <c r="AA387" s="184">
        <v>0</v>
      </c>
      <c r="AB387" s="184">
        <v>0</v>
      </c>
      <c r="AC387" s="185">
        <v>42.6</v>
      </c>
      <c r="AD387" s="185">
        <v>49.2</v>
      </c>
      <c r="AE387" s="184">
        <v>0</v>
      </c>
      <c r="AF387" s="185">
        <v>0</v>
      </c>
      <c r="AG387" s="184">
        <v>0</v>
      </c>
      <c r="AH387" s="185">
        <v>0</v>
      </c>
      <c r="AI387" s="184">
        <v>0</v>
      </c>
      <c r="AJ387" s="643">
        <v>0</v>
      </c>
    </row>
    <row r="388" spans="1:36" x14ac:dyDescent="0.2">
      <c r="A388" s="190" t="s">
        <v>60</v>
      </c>
      <c r="B388" s="642">
        <v>14</v>
      </c>
      <c r="C388" s="184">
        <v>0</v>
      </c>
      <c r="D388" s="184">
        <v>11</v>
      </c>
      <c r="E388" s="184">
        <v>0</v>
      </c>
      <c r="F388" s="184">
        <v>3</v>
      </c>
      <c r="G388" s="184">
        <v>0</v>
      </c>
      <c r="H388" s="184">
        <v>0</v>
      </c>
      <c r="I388" s="184">
        <v>0</v>
      </c>
      <c r="J388" s="184">
        <v>0</v>
      </c>
      <c r="K388" s="184">
        <v>0</v>
      </c>
      <c r="L388" s="184">
        <v>0</v>
      </c>
      <c r="M388" s="616" t="s">
        <v>24</v>
      </c>
      <c r="N388" s="585" t="s">
        <v>60</v>
      </c>
      <c r="O388" s="191">
        <v>0</v>
      </c>
      <c r="P388" s="184">
        <v>0</v>
      </c>
      <c r="Q388" s="184">
        <v>0</v>
      </c>
      <c r="R388" s="184">
        <v>1</v>
      </c>
      <c r="S388" s="184">
        <v>1</v>
      </c>
      <c r="T388" s="184">
        <v>3</v>
      </c>
      <c r="U388" s="184">
        <v>6</v>
      </c>
      <c r="V388" s="184">
        <v>2</v>
      </c>
      <c r="W388" s="184">
        <v>1</v>
      </c>
      <c r="X388" s="184">
        <v>0</v>
      </c>
      <c r="Y388" s="184">
        <v>0</v>
      </c>
      <c r="Z388" s="184">
        <v>0</v>
      </c>
      <c r="AA388" s="184">
        <v>0</v>
      </c>
      <c r="AB388" s="184">
        <v>0</v>
      </c>
      <c r="AC388" s="185">
        <v>36.4</v>
      </c>
      <c r="AD388" s="185">
        <v>42.6</v>
      </c>
      <c r="AE388" s="184">
        <v>0</v>
      </c>
      <c r="AF388" s="185">
        <v>0</v>
      </c>
      <c r="AG388" s="184">
        <v>0</v>
      </c>
      <c r="AH388" s="185">
        <v>0</v>
      </c>
      <c r="AI388" s="184">
        <v>0</v>
      </c>
      <c r="AJ388" s="643">
        <v>0</v>
      </c>
    </row>
    <row r="389" spans="1:36" x14ac:dyDescent="0.2">
      <c r="A389" s="190" t="s">
        <v>100</v>
      </c>
      <c r="B389" s="642">
        <v>9</v>
      </c>
      <c r="C389" s="184">
        <v>0</v>
      </c>
      <c r="D389" s="184">
        <v>5</v>
      </c>
      <c r="E389" s="184">
        <v>0</v>
      </c>
      <c r="F389" s="184">
        <v>4</v>
      </c>
      <c r="G389" s="184">
        <v>0</v>
      </c>
      <c r="H389" s="184">
        <v>0</v>
      </c>
      <c r="I389" s="184">
        <v>0</v>
      </c>
      <c r="J389" s="184">
        <v>0</v>
      </c>
      <c r="K389" s="184">
        <v>0</v>
      </c>
      <c r="L389" s="184">
        <v>0</v>
      </c>
      <c r="M389" s="616" t="s">
        <v>24</v>
      </c>
      <c r="N389" s="585" t="s">
        <v>100</v>
      </c>
      <c r="O389" s="191">
        <v>0</v>
      </c>
      <c r="P389" s="184">
        <v>0</v>
      </c>
      <c r="Q389" s="184">
        <v>0</v>
      </c>
      <c r="R389" s="184">
        <v>0</v>
      </c>
      <c r="S389" s="184">
        <v>1</v>
      </c>
      <c r="T389" s="184">
        <v>0</v>
      </c>
      <c r="U389" s="184">
        <v>2</v>
      </c>
      <c r="V389" s="184">
        <v>3</v>
      </c>
      <c r="W389" s="184">
        <v>2</v>
      </c>
      <c r="X389" s="184">
        <v>1</v>
      </c>
      <c r="Y389" s="184">
        <v>0</v>
      </c>
      <c r="Z389" s="184">
        <v>0</v>
      </c>
      <c r="AA389" s="184">
        <v>0</v>
      </c>
      <c r="AB389" s="184">
        <v>0</v>
      </c>
      <c r="AC389" s="185">
        <v>42.2</v>
      </c>
      <c r="AD389" s="185" t="s">
        <v>24</v>
      </c>
      <c r="AE389" s="184">
        <v>0</v>
      </c>
      <c r="AF389" s="185">
        <v>0</v>
      </c>
      <c r="AG389" s="184">
        <v>0</v>
      </c>
      <c r="AH389" s="185">
        <v>0</v>
      </c>
      <c r="AI389" s="184">
        <v>0</v>
      </c>
      <c r="AJ389" s="643">
        <v>0</v>
      </c>
    </row>
    <row r="390" spans="1:36" x14ac:dyDescent="0.2">
      <c r="A390" s="190" t="s">
        <v>101</v>
      </c>
      <c r="B390" s="642">
        <v>19</v>
      </c>
      <c r="C390" s="184">
        <v>0</v>
      </c>
      <c r="D390" s="184">
        <v>16</v>
      </c>
      <c r="E390" s="184">
        <v>0</v>
      </c>
      <c r="F390" s="184">
        <v>3</v>
      </c>
      <c r="G390" s="184">
        <v>0</v>
      </c>
      <c r="H390" s="184">
        <v>0</v>
      </c>
      <c r="I390" s="184">
        <v>0</v>
      </c>
      <c r="J390" s="184">
        <v>0</v>
      </c>
      <c r="K390" s="184">
        <v>0</v>
      </c>
      <c r="L390" s="184">
        <v>0</v>
      </c>
      <c r="M390" s="616" t="s">
        <v>24</v>
      </c>
      <c r="N390" s="585" t="s">
        <v>101</v>
      </c>
      <c r="O390" s="191">
        <v>0</v>
      </c>
      <c r="P390" s="184">
        <v>0</v>
      </c>
      <c r="Q390" s="184">
        <v>0</v>
      </c>
      <c r="R390" s="184">
        <v>0</v>
      </c>
      <c r="S390" s="184">
        <v>2</v>
      </c>
      <c r="T390" s="184">
        <v>1</v>
      </c>
      <c r="U390" s="184">
        <v>2</v>
      </c>
      <c r="V390" s="184">
        <v>6</v>
      </c>
      <c r="W390" s="184">
        <v>2</v>
      </c>
      <c r="X390" s="184">
        <v>6</v>
      </c>
      <c r="Y390" s="184">
        <v>0</v>
      </c>
      <c r="Z390" s="184">
        <v>0</v>
      </c>
      <c r="AA390" s="184">
        <v>0</v>
      </c>
      <c r="AB390" s="184">
        <v>0</v>
      </c>
      <c r="AC390" s="185">
        <v>43.9</v>
      </c>
      <c r="AD390" s="185">
        <v>54.6</v>
      </c>
      <c r="AE390" s="184">
        <v>0</v>
      </c>
      <c r="AF390" s="185">
        <v>0</v>
      </c>
      <c r="AG390" s="184">
        <v>0</v>
      </c>
      <c r="AH390" s="185">
        <v>0</v>
      </c>
      <c r="AI390" s="184">
        <v>0</v>
      </c>
      <c r="AJ390" s="643">
        <v>0</v>
      </c>
    </row>
    <row r="391" spans="1:36" x14ac:dyDescent="0.2">
      <c r="A391" s="190" t="s">
        <v>102</v>
      </c>
      <c r="B391" s="642">
        <v>14</v>
      </c>
      <c r="C391" s="184">
        <v>0</v>
      </c>
      <c r="D391" s="184">
        <v>12</v>
      </c>
      <c r="E391" s="184">
        <v>0</v>
      </c>
      <c r="F391" s="184">
        <v>2</v>
      </c>
      <c r="G391" s="184">
        <v>0</v>
      </c>
      <c r="H391" s="184">
        <v>0</v>
      </c>
      <c r="I391" s="184">
        <v>0</v>
      </c>
      <c r="J391" s="184">
        <v>0</v>
      </c>
      <c r="K391" s="184">
        <v>0</v>
      </c>
      <c r="L391" s="184">
        <v>0</v>
      </c>
      <c r="M391" s="616" t="s">
        <v>24</v>
      </c>
      <c r="N391" s="585" t="s">
        <v>102</v>
      </c>
      <c r="O391" s="191">
        <v>0</v>
      </c>
      <c r="P391" s="184">
        <v>0</v>
      </c>
      <c r="Q391" s="184">
        <v>1</v>
      </c>
      <c r="R391" s="184">
        <v>0</v>
      </c>
      <c r="S391" s="184">
        <v>0</v>
      </c>
      <c r="T391" s="184">
        <v>1</v>
      </c>
      <c r="U391" s="184">
        <v>3</v>
      </c>
      <c r="V391" s="184">
        <v>2</v>
      </c>
      <c r="W391" s="184">
        <v>4</v>
      </c>
      <c r="X391" s="184">
        <v>2</v>
      </c>
      <c r="Y391" s="184">
        <v>1</v>
      </c>
      <c r="Z391" s="184">
        <v>0</v>
      </c>
      <c r="AA391" s="184">
        <v>0</v>
      </c>
      <c r="AB391" s="184">
        <v>0</v>
      </c>
      <c r="AC391" s="185">
        <v>43.5</v>
      </c>
      <c r="AD391" s="185">
        <v>52.8</v>
      </c>
      <c r="AE391" s="184">
        <v>1</v>
      </c>
      <c r="AF391" s="185">
        <v>7.1428571428571423</v>
      </c>
      <c r="AG391" s="184">
        <v>0</v>
      </c>
      <c r="AH391" s="185">
        <v>0</v>
      </c>
      <c r="AI391" s="184">
        <v>0</v>
      </c>
      <c r="AJ391" s="643">
        <v>0</v>
      </c>
    </row>
    <row r="392" spans="1:36" x14ac:dyDescent="0.2">
      <c r="A392" s="190" t="s">
        <v>62</v>
      </c>
      <c r="B392" s="642">
        <v>10</v>
      </c>
      <c r="C392" s="184">
        <v>0</v>
      </c>
      <c r="D392" s="184">
        <v>6</v>
      </c>
      <c r="E392" s="184">
        <v>0</v>
      </c>
      <c r="F392" s="184">
        <v>4</v>
      </c>
      <c r="G392" s="184">
        <v>0</v>
      </c>
      <c r="H392" s="184">
        <v>0</v>
      </c>
      <c r="I392" s="184">
        <v>0</v>
      </c>
      <c r="J392" s="184">
        <v>0</v>
      </c>
      <c r="K392" s="184">
        <v>0</v>
      </c>
      <c r="L392" s="184">
        <v>0</v>
      </c>
      <c r="M392" s="616" t="s">
        <v>24</v>
      </c>
      <c r="N392" s="585" t="s">
        <v>62</v>
      </c>
      <c r="O392" s="191">
        <v>0</v>
      </c>
      <c r="P392" s="184">
        <v>0</v>
      </c>
      <c r="Q392" s="184">
        <v>0</v>
      </c>
      <c r="R392" s="184">
        <v>0</v>
      </c>
      <c r="S392" s="184">
        <v>0</v>
      </c>
      <c r="T392" s="184">
        <v>2</v>
      </c>
      <c r="U392" s="184">
        <v>1</v>
      </c>
      <c r="V392" s="184">
        <v>3</v>
      </c>
      <c r="W392" s="184">
        <v>2</v>
      </c>
      <c r="X392" s="184">
        <v>2</v>
      </c>
      <c r="Y392" s="184">
        <v>0</v>
      </c>
      <c r="Z392" s="184">
        <v>0</v>
      </c>
      <c r="AA392" s="184">
        <v>0</v>
      </c>
      <c r="AB392" s="184">
        <v>0</v>
      </c>
      <c r="AC392" s="185">
        <v>42.7</v>
      </c>
      <c r="AD392" s="185" t="s">
        <v>24</v>
      </c>
      <c r="AE392" s="184">
        <v>0</v>
      </c>
      <c r="AF392" s="185">
        <v>0</v>
      </c>
      <c r="AG392" s="184">
        <v>0</v>
      </c>
      <c r="AH392" s="185">
        <v>0</v>
      </c>
      <c r="AI392" s="184">
        <v>0</v>
      </c>
      <c r="AJ392" s="643">
        <v>0</v>
      </c>
    </row>
    <row r="393" spans="1:36" x14ac:dyDescent="0.2">
      <c r="A393" s="190" t="s">
        <v>103</v>
      </c>
      <c r="B393" s="642">
        <v>14</v>
      </c>
      <c r="C393" s="184">
        <v>0</v>
      </c>
      <c r="D393" s="184">
        <v>11</v>
      </c>
      <c r="E393" s="184">
        <v>2</v>
      </c>
      <c r="F393" s="184">
        <v>1</v>
      </c>
      <c r="G393" s="184">
        <v>0</v>
      </c>
      <c r="H393" s="184">
        <v>0</v>
      </c>
      <c r="I393" s="184">
        <v>0</v>
      </c>
      <c r="J393" s="184">
        <v>0</v>
      </c>
      <c r="K393" s="184">
        <v>0</v>
      </c>
      <c r="L393" s="184">
        <v>0</v>
      </c>
      <c r="M393" s="616" t="s">
        <v>24</v>
      </c>
      <c r="N393" s="585" t="s">
        <v>103</v>
      </c>
      <c r="O393" s="191">
        <v>0</v>
      </c>
      <c r="P393" s="184">
        <v>0</v>
      </c>
      <c r="Q393" s="184">
        <v>1</v>
      </c>
      <c r="R393" s="184">
        <v>0</v>
      </c>
      <c r="S393" s="184">
        <v>1</v>
      </c>
      <c r="T393" s="184">
        <v>2</v>
      </c>
      <c r="U393" s="184">
        <v>1</v>
      </c>
      <c r="V393" s="184">
        <v>8</v>
      </c>
      <c r="W393" s="184">
        <v>1</v>
      </c>
      <c r="X393" s="184">
        <v>0</v>
      </c>
      <c r="Y393" s="184">
        <v>0</v>
      </c>
      <c r="Z393" s="184">
        <v>0</v>
      </c>
      <c r="AA393" s="184">
        <v>0</v>
      </c>
      <c r="AB393" s="184">
        <v>0</v>
      </c>
      <c r="AC393" s="185">
        <v>38.799999999999997</v>
      </c>
      <c r="AD393" s="185">
        <v>44.4</v>
      </c>
      <c r="AE393" s="184">
        <v>0</v>
      </c>
      <c r="AF393" s="185">
        <v>0</v>
      </c>
      <c r="AG393" s="184">
        <v>0</v>
      </c>
      <c r="AH393" s="185">
        <v>0</v>
      </c>
      <c r="AI393" s="184">
        <v>0</v>
      </c>
      <c r="AJ393" s="643">
        <v>0</v>
      </c>
    </row>
    <row r="394" spans="1:36" x14ac:dyDescent="0.2">
      <c r="A394" s="190" t="s">
        <v>104</v>
      </c>
      <c r="B394" s="642">
        <v>21</v>
      </c>
      <c r="C394" s="184">
        <v>1</v>
      </c>
      <c r="D394" s="184">
        <v>19</v>
      </c>
      <c r="E394" s="184">
        <v>0</v>
      </c>
      <c r="F394" s="184">
        <v>0</v>
      </c>
      <c r="G394" s="184">
        <v>1</v>
      </c>
      <c r="H394" s="184">
        <v>0</v>
      </c>
      <c r="I394" s="184">
        <v>0</v>
      </c>
      <c r="J394" s="184">
        <v>0</v>
      </c>
      <c r="K394" s="184">
        <v>0</v>
      </c>
      <c r="L394" s="184">
        <v>0</v>
      </c>
      <c r="M394" s="616" t="s">
        <v>24</v>
      </c>
      <c r="N394" s="585" t="s">
        <v>104</v>
      </c>
      <c r="O394" s="191">
        <v>0</v>
      </c>
      <c r="P394" s="184">
        <v>1</v>
      </c>
      <c r="Q394" s="184">
        <v>0</v>
      </c>
      <c r="R394" s="184">
        <v>1</v>
      </c>
      <c r="S394" s="184">
        <v>0</v>
      </c>
      <c r="T394" s="184">
        <v>6</v>
      </c>
      <c r="U394" s="184">
        <v>3</v>
      </c>
      <c r="V394" s="184">
        <v>5</v>
      </c>
      <c r="W394" s="184">
        <v>3</v>
      </c>
      <c r="X394" s="184">
        <v>2</v>
      </c>
      <c r="Y394" s="184">
        <v>0</v>
      </c>
      <c r="Z394" s="184">
        <v>0</v>
      </c>
      <c r="AA394" s="184">
        <v>0</v>
      </c>
      <c r="AB394" s="184">
        <v>0</v>
      </c>
      <c r="AC394" s="185">
        <v>37.9</v>
      </c>
      <c r="AD394" s="185">
        <v>48.5</v>
      </c>
      <c r="AE394" s="184">
        <v>0</v>
      </c>
      <c r="AF394" s="185">
        <v>0</v>
      </c>
      <c r="AG394" s="184">
        <v>0</v>
      </c>
      <c r="AH394" s="185">
        <v>0</v>
      </c>
      <c r="AI394" s="184">
        <v>0</v>
      </c>
      <c r="AJ394" s="643">
        <v>0</v>
      </c>
    </row>
    <row r="395" spans="1:36" x14ac:dyDescent="0.2">
      <c r="A395" s="190" t="s">
        <v>105</v>
      </c>
      <c r="B395" s="642">
        <v>8</v>
      </c>
      <c r="C395" s="184">
        <v>1</v>
      </c>
      <c r="D395" s="184">
        <v>6</v>
      </c>
      <c r="E395" s="184">
        <v>0</v>
      </c>
      <c r="F395" s="184">
        <v>1</v>
      </c>
      <c r="G395" s="184">
        <v>0</v>
      </c>
      <c r="H395" s="184">
        <v>0</v>
      </c>
      <c r="I395" s="184">
        <v>0</v>
      </c>
      <c r="J395" s="184">
        <v>0</v>
      </c>
      <c r="K395" s="184">
        <v>0</v>
      </c>
      <c r="L395" s="184">
        <v>0</v>
      </c>
      <c r="M395" s="616" t="s">
        <v>24</v>
      </c>
      <c r="N395" s="585" t="s">
        <v>105</v>
      </c>
      <c r="O395" s="191">
        <v>0</v>
      </c>
      <c r="P395" s="184">
        <v>0</v>
      </c>
      <c r="Q395" s="184">
        <v>1</v>
      </c>
      <c r="R395" s="184">
        <v>1</v>
      </c>
      <c r="S395" s="184">
        <v>0</v>
      </c>
      <c r="T395" s="184">
        <v>1</v>
      </c>
      <c r="U395" s="184">
        <v>2</v>
      </c>
      <c r="V395" s="184">
        <v>2</v>
      </c>
      <c r="W395" s="184">
        <v>1</v>
      </c>
      <c r="X395" s="184">
        <v>0</v>
      </c>
      <c r="Y395" s="184">
        <v>0</v>
      </c>
      <c r="Z395" s="184">
        <v>0</v>
      </c>
      <c r="AA395" s="184">
        <v>0</v>
      </c>
      <c r="AB395" s="184">
        <v>0</v>
      </c>
      <c r="AC395" s="185">
        <v>36.1</v>
      </c>
      <c r="AD395" s="185" t="s">
        <v>24</v>
      </c>
      <c r="AE395" s="184">
        <v>0</v>
      </c>
      <c r="AF395" s="185">
        <v>0</v>
      </c>
      <c r="AG395" s="184">
        <v>0</v>
      </c>
      <c r="AH395" s="185">
        <v>0</v>
      </c>
      <c r="AI395" s="184">
        <v>0</v>
      </c>
      <c r="AJ395" s="643">
        <v>0</v>
      </c>
    </row>
    <row r="396" spans="1:36" x14ac:dyDescent="0.2">
      <c r="A396" s="190" t="s">
        <v>64</v>
      </c>
      <c r="B396" s="642">
        <v>16</v>
      </c>
      <c r="C396" s="184">
        <v>0</v>
      </c>
      <c r="D396" s="184">
        <v>14</v>
      </c>
      <c r="E396" s="184">
        <v>0</v>
      </c>
      <c r="F396" s="184">
        <v>2</v>
      </c>
      <c r="G396" s="184">
        <v>0</v>
      </c>
      <c r="H396" s="184">
        <v>0</v>
      </c>
      <c r="I396" s="184">
        <v>0</v>
      </c>
      <c r="J396" s="184">
        <v>0</v>
      </c>
      <c r="K396" s="184">
        <v>0</v>
      </c>
      <c r="L396" s="184">
        <v>0</v>
      </c>
      <c r="M396" s="616" t="s">
        <v>24</v>
      </c>
      <c r="N396" s="585" t="s">
        <v>64</v>
      </c>
      <c r="O396" s="191">
        <v>0</v>
      </c>
      <c r="P396" s="184">
        <v>0</v>
      </c>
      <c r="Q396" s="184">
        <v>0</v>
      </c>
      <c r="R396" s="184">
        <v>0</v>
      </c>
      <c r="S396" s="184">
        <v>0</v>
      </c>
      <c r="T396" s="184">
        <v>0</v>
      </c>
      <c r="U396" s="184">
        <v>4</v>
      </c>
      <c r="V396" s="184">
        <v>6</v>
      </c>
      <c r="W396" s="184">
        <v>4</v>
      </c>
      <c r="X396" s="184">
        <v>2</v>
      </c>
      <c r="Y396" s="184">
        <v>0</v>
      </c>
      <c r="Z396" s="184">
        <v>0</v>
      </c>
      <c r="AA396" s="184">
        <v>0</v>
      </c>
      <c r="AB396" s="184">
        <v>0</v>
      </c>
      <c r="AC396" s="185">
        <v>43.7</v>
      </c>
      <c r="AD396" s="185">
        <v>50.6</v>
      </c>
      <c r="AE396" s="184">
        <v>0</v>
      </c>
      <c r="AF396" s="185">
        <v>0</v>
      </c>
      <c r="AG396" s="184">
        <v>0</v>
      </c>
      <c r="AH396" s="185">
        <v>0</v>
      </c>
      <c r="AI396" s="184">
        <v>0</v>
      </c>
      <c r="AJ396" s="643">
        <v>0</v>
      </c>
    </row>
    <row r="397" spans="1:36" x14ac:dyDescent="0.2">
      <c r="A397" s="190" t="s">
        <v>106</v>
      </c>
      <c r="B397" s="642">
        <v>12</v>
      </c>
      <c r="C397" s="184">
        <v>0</v>
      </c>
      <c r="D397" s="184">
        <v>10</v>
      </c>
      <c r="E397" s="184">
        <v>0</v>
      </c>
      <c r="F397" s="184">
        <v>1</v>
      </c>
      <c r="G397" s="184">
        <v>0</v>
      </c>
      <c r="H397" s="184">
        <v>0</v>
      </c>
      <c r="I397" s="184">
        <v>0</v>
      </c>
      <c r="J397" s="184">
        <v>1</v>
      </c>
      <c r="K397" s="184">
        <v>0</v>
      </c>
      <c r="L397" s="184">
        <v>0</v>
      </c>
      <c r="M397" s="616" t="s">
        <v>24</v>
      </c>
      <c r="N397" s="585" t="s">
        <v>106</v>
      </c>
      <c r="O397" s="191">
        <v>0</v>
      </c>
      <c r="P397" s="184">
        <v>0</v>
      </c>
      <c r="Q397" s="184">
        <v>0</v>
      </c>
      <c r="R397" s="184">
        <v>1</v>
      </c>
      <c r="S397" s="184">
        <v>3</v>
      </c>
      <c r="T397" s="184">
        <v>0</v>
      </c>
      <c r="U397" s="184">
        <v>6</v>
      </c>
      <c r="V397" s="184">
        <v>2</v>
      </c>
      <c r="W397" s="184">
        <v>0</v>
      </c>
      <c r="X397" s="184">
        <v>0</v>
      </c>
      <c r="Y397" s="184">
        <v>0</v>
      </c>
      <c r="Z397" s="184">
        <v>0</v>
      </c>
      <c r="AA397" s="184">
        <v>0</v>
      </c>
      <c r="AB397" s="184">
        <v>0</v>
      </c>
      <c r="AC397" s="185">
        <v>34.200000000000003</v>
      </c>
      <c r="AD397" s="185">
        <v>40.200000000000003</v>
      </c>
      <c r="AE397" s="184">
        <v>0</v>
      </c>
      <c r="AF397" s="185">
        <v>0</v>
      </c>
      <c r="AG397" s="184">
        <v>0</v>
      </c>
      <c r="AH397" s="185">
        <v>0</v>
      </c>
      <c r="AI397" s="184">
        <v>0</v>
      </c>
      <c r="AJ397" s="643">
        <v>0</v>
      </c>
    </row>
    <row r="398" spans="1:36" x14ac:dyDescent="0.2">
      <c r="A398" s="190" t="s">
        <v>107</v>
      </c>
      <c r="B398" s="642">
        <v>18</v>
      </c>
      <c r="C398" s="184">
        <v>0</v>
      </c>
      <c r="D398" s="184">
        <v>16</v>
      </c>
      <c r="E398" s="184">
        <v>0</v>
      </c>
      <c r="F398" s="184">
        <v>2</v>
      </c>
      <c r="G398" s="184">
        <v>0</v>
      </c>
      <c r="H398" s="184">
        <v>0</v>
      </c>
      <c r="I398" s="184">
        <v>0</v>
      </c>
      <c r="J398" s="184">
        <v>0</v>
      </c>
      <c r="K398" s="184">
        <v>0</v>
      </c>
      <c r="L398" s="184">
        <v>0</v>
      </c>
      <c r="M398" s="616" t="s">
        <v>24</v>
      </c>
      <c r="N398" s="585" t="s">
        <v>107</v>
      </c>
      <c r="O398" s="191">
        <v>0</v>
      </c>
      <c r="P398" s="184">
        <v>0</v>
      </c>
      <c r="Q398" s="184">
        <v>0</v>
      </c>
      <c r="R398" s="184">
        <v>1</v>
      </c>
      <c r="S398" s="184">
        <v>1</v>
      </c>
      <c r="T398" s="184">
        <v>7</v>
      </c>
      <c r="U398" s="184">
        <v>5</v>
      </c>
      <c r="V398" s="184">
        <v>3</v>
      </c>
      <c r="W398" s="184">
        <v>1</v>
      </c>
      <c r="X398" s="184">
        <v>0</v>
      </c>
      <c r="Y398" s="184">
        <v>0</v>
      </c>
      <c r="Z398" s="184">
        <v>0</v>
      </c>
      <c r="AA398" s="184">
        <v>0</v>
      </c>
      <c r="AB398" s="184">
        <v>0</v>
      </c>
      <c r="AC398" s="185">
        <v>35.700000000000003</v>
      </c>
      <c r="AD398" s="185">
        <v>41.2</v>
      </c>
      <c r="AE398" s="184">
        <v>0</v>
      </c>
      <c r="AF398" s="185">
        <v>0</v>
      </c>
      <c r="AG398" s="184">
        <v>0</v>
      </c>
      <c r="AH398" s="185">
        <v>0</v>
      </c>
      <c r="AI398" s="184">
        <v>0</v>
      </c>
      <c r="AJ398" s="643">
        <v>0</v>
      </c>
    </row>
    <row r="399" spans="1:36" x14ac:dyDescent="0.2">
      <c r="A399" s="190" t="s">
        <v>108</v>
      </c>
      <c r="B399" s="642">
        <v>11</v>
      </c>
      <c r="C399" s="184">
        <v>0</v>
      </c>
      <c r="D399" s="184">
        <v>11</v>
      </c>
      <c r="E399" s="184">
        <v>0</v>
      </c>
      <c r="F399" s="184">
        <v>0</v>
      </c>
      <c r="G399" s="184">
        <v>0</v>
      </c>
      <c r="H399" s="184">
        <v>0</v>
      </c>
      <c r="I399" s="184">
        <v>0</v>
      </c>
      <c r="J399" s="184">
        <v>0</v>
      </c>
      <c r="K399" s="184">
        <v>0</v>
      </c>
      <c r="L399" s="184">
        <v>0</v>
      </c>
      <c r="M399" s="616" t="s">
        <v>24</v>
      </c>
      <c r="N399" s="585" t="s">
        <v>108</v>
      </c>
      <c r="O399" s="191">
        <v>0</v>
      </c>
      <c r="P399" s="184">
        <v>0</v>
      </c>
      <c r="Q399" s="184">
        <v>0</v>
      </c>
      <c r="R399" s="184">
        <v>0</v>
      </c>
      <c r="S399" s="184">
        <v>0</v>
      </c>
      <c r="T399" s="184">
        <v>1</v>
      </c>
      <c r="U399" s="184">
        <v>3</v>
      </c>
      <c r="V399" s="184">
        <v>6</v>
      </c>
      <c r="W399" s="184">
        <v>0</v>
      </c>
      <c r="X399" s="184">
        <v>1</v>
      </c>
      <c r="Y399" s="184">
        <v>0</v>
      </c>
      <c r="Z399" s="184">
        <v>0</v>
      </c>
      <c r="AA399" s="184">
        <v>0</v>
      </c>
      <c r="AB399" s="184">
        <v>0</v>
      </c>
      <c r="AC399" s="185">
        <v>41.3</v>
      </c>
      <c r="AD399" s="185">
        <v>46.4</v>
      </c>
      <c r="AE399" s="184">
        <v>0</v>
      </c>
      <c r="AF399" s="185">
        <v>0</v>
      </c>
      <c r="AG399" s="184">
        <v>0</v>
      </c>
      <c r="AH399" s="185">
        <v>0</v>
      </c>
      <c r="AI399" s="184">
        <v>0</v>
      </c>
      <c r="AJ399" s="643">
        <v>0</v>
      </c>
    </row>
    <row r="400" spans="1:36" x14ac:dyDescent="0.2">
      <c r="A400" s="190" t="s">
        <v>65</v>
      </c>
      <c r="B400" s="646">
        <v>14</v>
      </c>
      <c r="C400" s="186">
        <v>0</v>
      </c>
      <c r="D400" s="186">
        <v>13</v>
      </c>
      <c r="E400" s="186">
        <v>0</v>
      </c>
      <c r="F400" s="186">
        <v>1</v>
      </c>
      <c r="G400" s="186">
        <v>0</v>
      </c>
      <c r="H400" s="186">
        <v>0</v>
      </c>
      <c r="I400" s="186">
        <v>0</v>
      </c>
      <c r="J400" s="186">
        <v>0</v>
      </c>
      <c r="K400" s="186">
        <v>0</v>
      </c>
      <c r="L400" s="186">
        <v>0</v>
      </c>
      <c r="M400" s="618" t="s">
        <v>24</v>
      </c>
      <c r="N400" s="585" t="s">
        <v>65</v>
      </c>
      <c r="O400" s="567">
        <v>0</v>
      </c>
      <c r="P400" s="186">
        <v>0</v>
      </c>
      <c r="Q400" s="186">
        <v>0</v>
      </c>
      <c r="R400" s="186">
        <v>0</v>
      </c>
      <c r="S400" s="186">
        <v>0</v>
      </c>
      <c r="T400" s="186">
        <v>2</v>
      </c>
      <c r="U400" s="186">
        <v>3</v>
      </c>
      <c r="V400" s="186">
        <v>4</v>
      </c>
      <c r="W400" s="186">
        <v>3</v>
      </c>
      <c r="X400" s="186">
        <v>2</v>
      </c>
      <c r="Y400" s="186">
        <v>0</v>
      </c>
      <c r="Z400" s="186">
        <v>0</v>
      </c>
      <c r="AA400" s="186">
        <v>0</v>
      </c>
      <c r="AB400" s="186">
        <v>0</v>
      </c>
      <c r="AC400" s="187">
        <v>43</v>
      </c>
      <c r="AD400" s="187">
        <v>50.1</v>
      </c>
      <c r="AE400" s="186">
        <v>0</v>
      </c>
      <c r="AF400" s="187">
        <v>0</v>
      </c>
      <c r="AG400" s="186">
        <v>0</v>
      </c>
      <c r="AH400" s="187">
        <v>0</v>
      </c>
      <c r="AI400" s="186">
        <v>0</v>
      </c>
      <c r="AJ400" s="647">
        <v>0</v>
      </c>
    </row>
    <row r="401" spans="1:36" x14ac:dyDescent="0.2">
      <c r="A401" s="190" t="s">
        <v>109</v>
      </c>
      <c r="B401" s="642">
        <v>21</v>
      </c>
      <c r="C401" s="184">
        <v>0</v>
      </c>
      <c r="D401" s="184">
        <v>21</v>
      </c>
      <c r="E401" s="184">
        <v>0</v>
      </c>
      <c r="F401" s="184">
        <v>0</v>
      </c>
      <c r="G401" s="184">
        <v>0</v>
      </c>
      <c r="H401" s="184">
        <v>0</v>
      </c>
      <c r="I401" s="184">
        <v>0</v>
      </c>
      <c r="J401" s="184">
        <v>0</v>
      </c>
      <c r="K401" s="184">
        <v>0</v>
      </c>
      <c r="L401" s="184">
        <v>0</v>
      </c>
      <c r="M401" s="616" t="s">
        <v>24</v>
      </c>
      <c r="N401" s="585" t="s">
        <v>109</v>
      </c>
      <c r="O401" s="191">
        <v>0</v>
      </c>
      <c r="P401" s="184">
        <v>0</v>
      </c>
      <c r="Q401" s="184">
        <v>0</v>
      </c>
      <c r="R401" s="184">
        <v>0</v>
      </c>
      <c r="S401" s="184">
        <v>0</v>
      </c>
      <c r="T401" s="184">
        <v>1</v>
      </c>
      <c r="U401" s="184">
        <v>7</v>
      </c>
      <c r="V401" s="184">
        <v>7</v>
      </c>
      <c r="W401" s="184">
        <v>2</v>
      </c>
      <c r="X401" s="184">
        <v>3</v>
      </c>
      <c r="Y401" s="184">
        <v>1</v>
      </c>
      <c r="Z401" s="184">
        <v>0</v>
      </c>
      <c r="AA401" s="184">
        <v>0</v>
      </c>
      <c r="AB401" s="184">
        <v>0</v>
      </c>
      <c r="AC401" s="185">
        <v>43.2</v>
      </c>
      <c r="AD401" s="185">
        <v>51.4</v>
      </c>
      <c r="AE401" s="184">
        <v>1</v>
      </c>
      <c r="AF401" s="185">
        <v>4.7619047619047619</v>
      </c>
      <c r="AG401" s="184">
        <v>0</v>
      </c>
      <c r="AH401" s="185">
        <v>0</v>
      </c>
      <c r="AI401" s="184">
        <v>0</v>
      </c>
      <c r="AJ401" s="643">
        <v>0</v>
      </c>
    </row>
    <row r="402" spans="1:36" x14ac:dyDescent="0.2">
      <c r="A402" s="190" t="s">
        <v>110</v>
      </c>
      <c r="B402" s="642">
        <v>26</v>
      </c>
      <c r="C402" s="184">
        <v>0</v>
      </c>
      <c r="D402" s="184">
        <v>23</v>
      </c>
      <c r="E402" s="184">
        <v>0</v>
      </c>
      <c r="F402" s="184">
        <v>2</v>
      </c>
      <c r="G402" s="184">
        <v>0</v>
      </c>
      <c r="H402" s="184">
        <v>0</v>
      </c>
      <c r="I402" s="184">
        <v>1</v>
      </c>
      <c r="J402" s="184">
        <v>0</v>
      </c>
      <c r="K402" s="184">
        <v>0</v>
      </c>
      <c r="L402" s="184">
        <v>0</v>
      </c>
      <c r="M402" s="616" t="s">
        <v>24</v>
      </c>
      <c r="N402" s="585" t="s">
        <v>110</v>
      </c>
      <c r="O402" s="191">
        <v>0</v>
      </c>
      <c r="P402" s="184">
        <v>0</v>
      </c>
      <c r="Q402" s="184">
        <v>0</v>
      </c>
      <c r="R402" s="184">
        <v>0</v>
      </c>
      <c r="S402" s="184">
        <v>1</v>
      </c>
      <c r="T402" s="184">
        <v>1</v>
      </c>
      <c r="U402" s="184">
        <v>6</v>
      </c>
      <c r="V402" s="184">
        <v>9</v>
      </c>
      <c r="W402" s="184">
        <v>2</v>
      </c>
      <c r="X402" s="184">
        <v>7</v>
      </c>
      <c r="Y402" s="184">
        <v>0</v>
      </c>
      <c r="Z402" s="184">
        <v>0</v>
      </c>
      <c r="AA402" s="184">
        <v>0</v>
      </c>
      <c r="AB402" s="184">
        <v>0</v>
      </c>
      <c r="AC402" s="185">
        <v>43.4</v>
      </c>
      <c r="AD402" s="185">
        <v>53</v>
      </c>
      <c r="AE402" s="184">
        <v>0</v>
      </c>
      <c r="AF402" s="185">
        <v>0</v>
      </c>
      <c r="AG402" s="184">
        <v>0</v>
      </c>
      <c r="AH402" s="185">
        <v>0</v>
      </c>
      <c r="AI402" s="184">
        <v>0</v>
      </c>
      <c r="AJ402" s="643">
        <v>0</v>
      </c>
    </row>
    <row r="403" spans="1:36" x14ac:dyDescent="0.2">
      <c r="A403" s="190" t="s">
        <v>111</v>
      </c>
      <c r="B403" s="642">
        <v>25</v>
      </c>
      <c r="C403" s="184">
        <v>1</v>
      </c>
      <c r="D403" s="184">
        <v>23</v>
      </c>
      <c r="E403" s="184">
        <v>0</v>
      </c>
      <c r="F403" s="184">
        <v>1</v>
      </c>
      <c r="G403" s="184">
        <v>0</v>
      </c>
      <c r="H403" s="184">
        <v>0</v>
      </c>
      <c r="I403" s="184">
        <v>0</v>
      </c>
      <c r="J403" s="184">
        <v>0</v>
      </c>
      <c r="K403" s="184">
        <v>0</v>
      </c>
      <c r="L403" s="184">
        <v>0</v>
      </c>
      <c r="M403" s="616" t="s">
        <v>24</v>
      </c>
      <c r="N403" s="585" t="s">
        <v>111</v>
      </c>
      <c r="O403" s="191">
        <v>0</v>
      </c>
      <c r="P403" s="184">
        <v>0</v>
      </c>
      <c r="Q403" s="184">
        <v>0</v>
      </c>
      <c r="R403" s="184">
        <v>0</v>
      </c>
      <c r="S403" s="184">
        <v>0</v>
      </c>
      <c r="T403" s="184">
        <v>2</v>
      </c>
      <c r="U403" s="184">
        <v>3</v>
      </c>
      <c r="V403" s="184">
        <v>7</v>
      </c>
      <c r="W403" s="184">
        <v>7</v>
      </c>
      <c r="X403" s="184">
        <v>5</v>
      </c>
      <c r="Y403" s="184">
        <v>1</v>
      </c>
      <c r="Z403" s="184">
        <v>0</v>
      </c>
      <c r="AA403" s="184">
        <v>0</v>
      </c>
      <c r="AB403" s="184">
        <v>0</v>
      </c>
      <c r="AC403" s="185">
        <v>45.6</v>
      </c>
      <c r="AD403" s="185">
        <v>51.4</v>
      </c>
      <c r="AE403" s="184">
        <v>1</v>
      </c>
      <c r="AF403" s="185">
        <v>4</v>
      </c>
      <c r="AG403" s="184">
        <v>0</v>
      </c>
      <c r="AH403" s="185">
        <v>0</v>
      </c>
      <c r="AI403" s="184">
        <v>0</v>
      </c>
      <c r="AJ403" s="643">
        <v>0</v>
      </c>
    </row>
    <row r="404" spans="1:36" x14ac:dyDescent="0.2">
      <c r="A404" s="190" t="s">
        <v>67</v>
      </c>
      <c r="B404" s="642">
        <v>23</v>
      </c>
      <c r="C404" s="184">
        <v>1</v>
      </c>
      <c r="D404" s="184">
        <v>20</v>
      </c>
      <c r="E404" s="184">
        <v>0</v>
      </c>
      <c r="F404" s="184">
        <v>2</v>
      </c>
      <c r="G404" s="184">
        <v>0</v>
      </c>
      <c r="H404" s="184">
        <v>0</v>
      </c>
      <c r="I404" s="184">
        <v>0</v>
      </c>
      <c r="J404" s="184">
        <v>0</v>
      </c>
      <c r="K404" s="184">
        <v>0</v>
      </c>
      <c r="L404" s="184">
        <v>0</v>
      </c>
      <c r="M404" s="616" t="s">
        <v>24</v>
      </c>
      <c r="N404" s="585" t="s">
        <v>67</v>
      </c>
      <c r="O404" s="191">
        <v>0</v>
      </c>
      <c r="P404" s="184">
        <v>0</v>
      </c>
      <c r="Q404" s="184">
        <v>0</v>
      </c>
      <c r="R404" s="184">
        <v>1</v>
      </c>
      <c r="S404" s="184">
        <v>0</v>
      </c>
      <c r="T404" s="184">
        <v>1</v>
      </c>
      <c r="U404" s="184">
        <v>5</v>
      </c>
      <c r="V404" s="184">
        <v>7</v>
      </c>
      <c r="W404" s="184">
        <v>3</v>
      </c>
      <c r="X404" s="184">
        <v>5</v>
      </c>
      <c r="Y404" s="184">
        <v>1</v>
      </c>
      <c r="Z404" s="184">
        <v>0</v>
      </c>
      <c r="AA404" s="184">
        <v>0</v>
      </c>
      <c r="AB404" s="184">
        <v>0</v>
      </c>
      <c r="AC404" s="185">
        <v>44.4</v>
      </c>
      <c r="AD404" s="185">
        <v>53.7</v>
      </c>
      <c r="AE404" s="184">
        <v>1</v>
      </c>
      <c r="AF404" s="185">
        <v>4.3478260869565215</v>
      </c>
      <c r="AG404" s="184">
        <v>0</v>
      </c>
      <c r="AH404" s="185">
        <v>0</v>
      </c>
      <c r="AI404" s="184">
        <v>0</v>
      </c>
      <c r="AJ404" s="643">
        <v>0</v>
      </c>
    </row>
    <row r="405" spans="1:36" x14ac:dyDescent="0.2">
      <c r="A405" s="190" t="s">
        <v>112</v>
      </c>
      <c r="B405" s="642">
        <v>23</v>
      </c>
      <c r="C405" s="184">
        <v>0</v>
      </c>
      <c r="D405" s="184">
        <v>21</v>
      </c>
      <c r="E405" s="184">
        <v>0</v>
      </c>
      <c r="F405" s="184">
        <v>2</v>
      </c>
      <c r="G405" s="184">
        <v>0</v>
      </c>
      <c r="H405" s="184">
        <v>0</v>
      </c>
      <c r="I405" s="184">
        <v>0</v>
      </c>
      <c r="J405" s="184">
        <v>0</v>
      </c>
      <c r="K405" s="184">
        <v>0</v>
      </c>
      <c r="L405" s="184">
        <v>0</v>
      </c>
      <c r="M405" s="616" t="s">
        <v>24</v>
      </c>
      <c r="N405" s="585" t="s">
        <v>112</v>
      </c>
      <c r="O405" s="191">
        <v>0</v>
      </c>
      <c r="P405" s="184">
        <v>0</v>
      </c>
      <c r="Q405" s="184">
        <v>0</v>
      </c>
      <c r="R405" s="184">
        <v>0</v>
      </c>
      <c r="S405" s="184">
        <v>0</v>
      </c>
      <c r="T405" s="184">
        <v>0</v>
      </c>
      <c r="U405" s="184">
        <v>1</v>
      </c>
      <c r="V405" s="184">
        <v>12</v>
      </c>
      <c r="W405" s="184">
        <v>3</v>
      </c>
      <c r="X405" s="184">
        <v>6</v>
      </c>
      <c r="Y405" s="184">
        <v>1</v>
      </c>
      <c r="Z405" s="184">
        <v>0</v>
      </c>
      <c r="AA405" s="184">
        <v>0</v>
      </c>
      <c r="AB405" s="184">
        <v>0</v>
      </c>
      <c r="AC405" s="185">
        <v>46.5</v>
      </c>
      <c r="AD405" s="185">
        <v>54.7</v>
      </c>
      <c r="AE405" s="184">
        <v>1</v>
      </c>
      <c r="AF405" s="185">
        <v>4.3478260869565215</v>
      </c>
      <c r="AG405" s="184">
        <v>0</v>
      </c>
      <c r="AH405" s="185">
        <v>0</v>
      </c>
      <c r="AI405" s="184">
        <v>0</v>
      </c>
      <c r="AJ405" s="643">
        <v>0</v>
      </c>
    </row>
    <row r="406" spans="1:36" x14ac:dyDescent="0.2">
      <c r="A406" s="190" t="s">
        <v>113</v>
      </c>
      <c r="B406" s="642">
        <v>15</v>
      </c>
      <c r="C406" s="184">
        <v>0</v>
      </c>
      <c r="D406" s="184">
        <v>13</v>
      </c>
      <c r="E406" s="184">
        <v>0</v>
      </c>
      <c r="F406" s="184">
        <v>2</v>
      </c>
      <c r="G406" s="184">
        <v>0</v>
      </c>
      <c r="H406" s="184">
        <v>0</v>
      </c>
      <c r="I406" s="184">
        <v>0</v>
      </c>
      <c r="J406" s="184">
        <v>0</v>
      </c>
      <c r="K406" s="184">
        <v>0</v>
      </c>
      <c r="L406" s="184">
        <v>0</v>
      </c>
      <c r="M406" s="616" t="s">
        <v>24</v>
      </c>
      <c r="N406" s="585" t="s">
        <v>113</v>
      </c>
      <c r="O406" s="191">
        <v>0</v>
      </c>
      <c r="P406" s="184">
        <v>0</v>
      </c>
      <c r="Q406" s="184">
        <v>0</v>
      </c>
      <c r="R406" s="184">
        <v>0</v>
      </c>
      <c r="S406" s="184">
        <v>0</v>
      </c>
      <c r="T406" s="184">
        <v>1</v>
      </c>
      <c r="U406" s="184">
        <v>4</v>
      </c>
      <c r="V406" s="184">
        <v>3</v>
      </c>
      <c r="W406" s="184">
        <v>4</v>
      </c>
      <c r="X406" s="184">
        <v>3</v>
      </c>
      <c r="Y406" s="184">
        <v>0</v>
      </c>
      <c r="Z406" s="184">
        <v>0</v>
      </c>
      <c r="AA406" s="184">
        <v>0</v>
      </c>
      <c r="AB406" s="184">
        <v>0</v>
      </c>
      <c r="AC406" s="185">
        <v>44.3</v>
      </c>
      <c r="AD406" s="185">
        <v>51.1</v>
      </c>
      <c r="AE406" s="184">
        <v>0</v>
      </c>
      <c r="AF406" s="185">
        <v>0</v>
      </c>
      <c r="AG406" s="184">
        <v>0</v>
      </c>
      <c r="AH406" s="185">
        <v>0</v>
      </c>
      <c r="AI406" s="184">
        <v>0</v>
      </c>
      <c r="AJ406" s="643">
        <v>0</v>
      </c>
    </row>
    <row r="407" spans="1:36" x14ac:dyDescent="0.2">
      <c r="A407" s="190" t="s">
        <v>114</v>
      </c>
      <c r="B407" s="642">
        <v>20</v>
      </c>
      <c r="C407" s="184">
        <v>2</v>
      </c>
      <c r="D407" s="184">
        <v>17</v>
      </c>
      <c r="E407" s="184">
        <v>0</v>
      </c>
      <c r="F407" s="184">
        <v>1</v>
      </c>
      <c r="G407" s="184">
        <v>0</v>
      </c>
      <c r="H407" s="184">
        <v>0</v>
      </c>
      <c r="I407" s="184">
        <v>0</v>
      </c>
      <c r="J407" s="184">
        <v>0</v>
      </c>
      <c r="K407" s="184">
        <v>0</v>
      </c>
      <c r="L407" s="184">
        <v>0</v>
      </c>
      <c r="M407" s="616" t="s">
        <v>24</v>
      </c>
      <c r="N407" s="585" t="s">
        <v>114</v>
      </c>
      <c r="O407" s="191">
        <v>0</v>
      </c>
      <c r="P407" s="184">
        <v>0</v>
      </c>
      <c r="Q407" s="184">
        <v>0</v>
      </c>
      <c r="R407" s="184">
        <v>1</v>
      </c>
      <c r="S407" s="184">
        <v>0</v>
      </c>
      <c r="T407" s="184">
        <v>0</v>
      </c>
      <c r="U407" s="184">
        <v>7</v>
      </c>
      <c r="V407" s="184">
        <v>5</v>
      </c>
      <c r="W407" s="184">
        <v>4</v>
      </c>
      <c r="X407" s="184">
        <v>2</v>
      </c>
      <c r="Y407" s="184">
        <v>1</v>
      </c>
      <c r="Z407" s="184">
        <v>0</v>
      </c>
      <c r="AA407" s="184">
        <v>0</v>
      </c>
      <c r="AB407" s="184">
        <v>0</v>
      </c>
      <c r="AC407" s="185">
        <v>43.8</v>
      </c>
      <c r="AD407" s="185">
        <v>51</v>
      </c>
      <c r="AE407" s="184">
        <v>1</v>
      </c>
      <c r="AF407" s="185">
        <v>5</v>
      </c>
      <c r="AG407" s="184">
        <v>0</v>
      </c>
      <c r="AH407" s="185">
        <v>0</v>
      </c>
      <c r="AI407" s="184">
        <v>0</v>
      </c>
      <c r="AJ407" s="643">
        <v>0</v>
      </c>
    </row>
    <row r="408" spans="1:36" x14ac:dyDescent="0.2">
      <c r="A408" s="190" t="s">
        <v>69</v>
      </c>
      <c r="B408" s="646">
        <v>20</v>
      </c>
      <c r="C408" s="186">
        <v>0</v>
      </c>
      <c r="D408" s="186">
        <v>20</v>
      </c>
      <c r="E408" s="186">
        <v>0</v>
      </c>
      <c r="F408" s="186">
        <v>0</v>
      </c>
      <c r="G408" s="186">
        <v>0</v>
      </c>
      <c r="H408" s="186">
        <v>0</v>
      </c>
      <c r="I408" s="186">
        <v>0</v>
      </c>
      <c r="J408" s="186">
        <v>0</v>
      </c>
      <c r="K408" s="186">
        <v>0</v>
      </c>
      <c r="L408" s="186">
        <v>0</v>
      </c>
      <c r="M408" s="618" t="s">
        <v>24</v>
      </c>
      <c r="N408" s="585" t="s">
        <v>69</v>
      </c>
      <c r="O408" s="567">
        <v>0</v>
      </c>
      <c r="P408" s="186">
        <v>0</v>
      </c>
      <c r="Q408" s="186">
        <v>0</v>
      </c>
      <c r="R408" s="186">
        <v>0</v>
      </c>
      <c r="S408" s="186">
        <v>0</v>
      </c>
      <c r="T408" s="186">
        <v>0</v>
      </c>
      <c r="U408" s="186">
        <v>6</v>
      </c>
      <c r="V408" s="186">
        <v>9</v>
      </c>
      <c r="W408" s="186">
        <v>4</v>
      </c>
      <c r="X408" s="186">
        <v>0</v>
      </c>
      <c r="Y408" s="186">
        <v>1</v>
      </c>
      <c r="Z408" s="186">
        <v>0</v>
      </c>
      <c r="AA408" s="186">
        <v>0</v>
      </c>
      <c r="AB408" s="186">
        <v>0</v>
      </c>
      <c r="AC408" s="187">
        <v>43.2</v>
      </c>
      <c r="AD408" s="187">
        <v>47.4</v>
      </c>
      <c r="AE408" s="186">
        <v>1</v>
      </c>
      <c r="AF408" s="187">
        <v>5</v>
      </c>
      <c r="AG408" s="186">
        <v>0</v>
      </c>
      <c r="AH408" s="187">
        <v>0</v>
      </c>
      <c r="AI408" s="186">
        <v>0</v>
      </c>
      <c r="AJ408" s="647">
        <v>0</v>
      </c>
    </row>
    <row r="409" spans="1:36" x14ac:dyDescent="0.2">
      <c r="A409" s="190" t="s">
        <v>115</v>
      </c>
      <c r="B409" s="642">
        <v>12</v>
      </c>
      <c r="C409" s="184">
        <v>1</v>
      </c>
      <c r="D409" s="184">
        <v>10</v>
      </c>
      <c r="E409" s="184">
        <v>0</v>
      </c>
      <c r="F409" s="184">
        <v>1</v>
      </c>
      <c r="G409" s="184">
        <v>0</v>
      </c>
      <c r="H409" s="184">
        <v>0</v>
      </c>
      <c r="I409" s="184">
        <v>0</v>
      </c>
      <c r="J409" s="184">
        <v>0</v>
      </c>
      <c r="K409" s="184">
        <v>0</v>
      </c>
      <c r="L409" s="184">
        <v>0</v>
      </c>
      <c r="M409" s="616" t="s">
        <v>24</v>
      </c>
      <c r="N409" s="585" t="s">
        <v>115</v>
      </c>
      <c r="O409" s="191">
        <v>0</v>
      </c>
      <c r="P409" s="184">
        <v>0</v>
      </c>
      <c r="Q409" s="184">
        <v>1</v>
      </c>
      <c r="R409" s="184">
        <v>0</v>
      </c>
      <c r="S409" s="184">
        <v>0</v>
      </c>
      <c r="T409" s="184">
        <v>1</v>
      </c>
      <c r="U409" s="184">
        <v>1</v>
      </c>
      <c r="V409" s="184">
        <v>5</v>
      </c>
      <c r="W409" s="184">
        <v>1</v>
      </c>
      <c r="X409" s="184">
        <v>3</v>
      </c>
      <c r="Y409" s="184">
        <v>0</v>
      </c>
      <c r="Z409" s="184">
        <v>0</v>
      </c>
      <c r="AA409" s="184">
        <v>0</v>
      </c>
      <c r="AB409" s="184">
        <v>0</v>
      </c>
      <c r="AC409" s="185">
        <v>43</v>
      </c>
      <c r="AD409" s="185">
        <v>53.8</v>
      </c>
      <c r="AE409" s="184">
        <v>0</v>
      </c>
      <c r="AF409" s="185">
        <v>0</v>
      </c>
      <c r="AG409" s="184">
        <v>0</v>
      </c>
      <c r="AH409" s="185">
        <v>0</v>
      </c>
      <c r="AI409" s="184">
        <v>0</v>
      </c>
      <c r="AJ409" s="643">
        <v>0</v>
      </c>
    </row>
    <row r="410" spans="1:36" x14ac:dyDescent="0.2">
      <c r="A410" s="190" t="s">
        <v>116</v>
      </c>
      <c r="B410" s="642">
        <v>5</v>
      </c>
      <c r="C410" s="184">
        <v>0</v>
      </c>
      <c r="D410" s="184">
        <v>5</v>
      </c>
      <c r="E410" s="184">
        <v>0</v>
      </c>
      <c r="F410" s="184">
        <v>0</v>
      </c>
      <c r="G410" s="184">
        <v>0</v>
      </c>
      <c r="H410" s="184">
        <v>0</v>
      </c>
      <c r="I410" s="184">
        <v>0</v>
      </c>
      <c r="J410" s="184">
        <v>0</v>
      </c>
      <c r="K410" s="184">
        <v>0</v>
      </c>
      <c r="L410" s="184">
        <v>0</v>
      </c>
      <c r="M410" s="616" t="s">
        <v>24</v>
      </c>
      <c r="N410" s="585" t="s">
        <v>116</v>
      </c>
      <c r="O410" s="191">
        <v>0</v>
      </c>
      <c r="P410" s="184">
        <v>0</v>
      </c>
      <c r="Q410" s="184">
        <v>0</v>
      </c>
      <c r="R410" s="184">
        <v>0</v>
      </c>
      <c r="S410" s="184">
        <v>0</v>
      </c>
      <c r="T410" s="184">
        <v>0</v>
      </c>
      <c r="U410" s="184">
        <v>0</v>
      </c>
      <c r="V410" s="184">
        <v>2</v>
      </c>
      <c r="W410" s="184">
        <v>3</v>
      </c>
      <c r="X410" s="184">
        <v>0</v>
      </c>
      <c r="Y410" s="184">
        <v>0</v>
      </c>
      <c r="Z410" s="184">
        <v>0</v>
      </c>
      <c r="AA410" s="184">
        <v>0</v>
      </c>
      <c r="AB410" s="184">
        <v>0</v>
      </c>
      <c r="AC410" s="185">
        <v>45.7</v>
      </c>
      <c r="AD410" s="185" t="s">
        <v>24</v>
      </c>
      <c r="AE410" s="184">
        <v>0</v>
      </c>
      <c r="AF410" s="185">
        <v>0</v>
      </c>
      <c r="AG410" s="184">
        <v>0</v>
      </c>
      <c r="AH410" s="185">
        <v>0</v>
      </c>
      <c r="AI410" s="184">
        <v>0</v>
      </c>
      <c r="AJ410" s="643">
        <v>0</v>
      </c>
    </row>
    <row r="411" spans="1:36" ht="13.5" thickBot="1" x14ac:dyDescent="0.25">
      <c r="A411" s="190" t="s">
        <v>117</v>
      </c>
      <c r="B411" s="644">
        <v>10</v>
      </c>
      <c r="C411" s="188">
        <v>0</v>
      </c>
      <c r="D411" s="188">
        <v>10</v>
      </c>
      <c r="E411" s="188">
        <v>0</v>
      </c>
      <c r="F411" s="188">
        <v>0</v>
      </c>
      <c r="G411" s="188">
        <v>0</v>
      </c>
      <c r="H411" s="188">
        <v>0</v>
      </c>
      <c r="I411" s="188">
        <v>0</v>
      </c>
      <c r="J411" s="188">
        <v>0</v>
      </c>
      <c r="K411" s="188">
        <v>0</v>
      </c>
      <c r="L411" s="188">
        <v>0</v>
      </c>
      <c r="M411" s="617" t="s">
        <v>24</v>
      </c>
      <c r="N411" s="585" t="s">
        <v>117</v>
      </c>
      <c r="O411" s="619">
        <v>0</v>
      </c>
      <c r="P411" s="188">
        <v>0</v>
      </c>
      <c r="Q411" s="188">
        <v>0</v>
      </c>
      <c r="R411" s="188">
        <v>0</v>
      </c>
      <c r="S411" s="188">
        <v>0</v>
      </c>
      <c r="T411" s="188">
        <v>0</v>
      </c>
      <c r="U411" s="188">
        <v>2</v>
      </c>
      <c r="V411" s="188">
        <v>3</v>
      </c>
      <c r="W411" s="188">
        <v>5</v>
      </c>
      <c r="X411" s="188">
        <v>0</v>
      </c>
      <c r="Y411" s="188">
        <v>0</v>
      </c>
      <c r="Z411" s="188">
        <v>0</v>
      </c>
      <c r="AA411" s="188">
        <v>0</v>
      </c>
      <c r="AB411" s="188">
        <v>0</v>
      </c>
      <c r="AC411" s="189">
        <v>43.4</v>
      </c>
      <c r="AD411" s="189" t="s">
        <v>24</v>
      </c>
      <c r="AE411" s="188">
        <v>0</v>
      </c>
      <c r="AF411" s="189">
        <v>0</v>
      </c>
      <c r="AG411" s="188">
        <v>0</v>
      </c>
      <c r="AH411" s="189">
        <v>0</v>
      </c>
      <c r="AI411" s="188">
        <v>0</v>
      </c>
      <c r="AJ411" s="645">
        <v>0</v>
      </c>
    </row>
    <row r="412" spans="1:36" x14ac:dyDescent="0.2">
      <c r="A412" s="190" t="s">
        <v>71</v>
      </c>
      <c r="B412" s="642">
        <v>14</v>
      </c>
      <c r="C412" s="184">
        <v>0</v>
      </c>
      <c r="D412" s="184">
        <v>14</v>
      </c>
      <c r="E412" s="184">
        <v>0</v>
      </c>
      <c r="F412" s="184">
        <v>0</v>
      </c>
      <c r="G412" s="184">
        <v>0</v>
      </c>
      <c r="H412" s="184">
        <v>0</v>
      </c>
      <c r="I412" s="184">
        <v>0</v>
      </c>
      <c r="J412" s="184">
        <v>0</v>
      </c>
      <c r="K412" s="184">
        <v>0</v>
      </c>
      <c r="L412" s="184">
        <v>0</v>
      </c>
      <c r="M412" s="616" t="s">
        <v>24</v>
      </c>
      <c r="N412" s="585" t="s">
        <v>71</v>
      </c>
      <c r="O412" s="191">
        <v>0</v>
      </c>
      <c r="P412" s="184">
        <v>0</v>
      </c>
      <c r="Q412" s="184">
        <v>0</v>
      </c>
      <c r="R412" s="184">
        <v>0</v>
      </c>
      <c r="S412" s="184">
        <v>0</v>
      </c>
      <c r="T412" s="184">
        <v>0</v>
      </c>
      <c r="U412" s="184">
        <v>0</v>
      </c>
      <c r="V412" s="184">
        <v>4</v>
      </c>
      <c r="W412" s="184">
        <v>5</v>
      </c>
      <c r="X412" s="184">
        <v>3</v>
      </c>
      <c r="Y412" s="184">
        <v>2</v>
      </c>
      <c r="Z412" s="184">
        <v>0</v>
      </c>
      <c r="AA412" s="184">
        <v>0</v>
      </c>
      <c r="AB412" s="184">
        <v>0</v>
      </c>
      <c r="AC412" s="185">
        <v>49.9</v>
      </c>
      <c r="AD412" s="185">
        <v>60.8</v>
      </c>
      <c r="AE412" s="184">
        <v>2</v>
      </c>
      <c r="AF412" s="185">
        <v>14.285714285714285</v>
      </c>
      <c r="AG412" s="184">
        <v>0</v>
      </c>
      <c r="AH412" s="185">
        <v>0</v>
      </c>
      <c r="AI412" s="184">
        <v>0</v>
      </c>
      <c r="AJ412" s="643">
        <v>0</v>
      </c>
    </row>
    <row r="413" spans="1:36" x14ac:dyDescent="0.2">
      <c r="A413" s="190" t="s">
        <v>118</v>
      </c>
      <c r="B413" s="642">
        <v>5</v>
      </c>
      <c r="C413" s="184">
        <v>0</v>
      </c>
      <c r="D413" s="184">
        <v>5</v>
      </c>
      <c r="E413" s="184">
        <v>0</v>
      </c>
      <c r="F413" s="184">
        <v>0</v>
      </c>
      <c r="G413" s="184">
        <v>0</v>
      </c>
      <c r="H413" s="184">
        <v>0</v>
      </c>
      <c r="I413" s="184">
        <v>0</v>
      </c>
      <c r="J413" s="184">
        <v>0</v>
      </c>
      <c r="K413" s="184">
        <v>0</v>
      </c>
      <c r="L413" s="184">
        <v>0</v>
      </c>
      <c r="M413" s="616" t="s">
        <v>24</v>
      </c>
      <c r="N413" s="585" t="s">
        <v>118</v>
      </c>
      <c r="O413" s="191">
        <v>0</v>
      </c>
      <c r="P413" s="184">
        <v>0</v>
      </c>
      <c r="Q413" s="184">
        <v>0</v>
      </c>
      <c r="R413" s="184">
        <v>0</v>
      </c>
      <c r="S413" s="184">
        <v>0</v>
      </c>
      <c r="T413" s="184">
        <v>1</v>
      </c>
      <c r="U413" s="184">
        <v>0</v>
      </c>
      <c r="V413" s="184">
        <v>2</v>
      </c>
      <c r="W413" s="184">
        <v>1</v>
      </c>
      <c r="X413" s="184">
        <v>1</v>
      </c>
      <c r="Y413" s="184">
        <v>0</v>
      </c>
      <c r="Z413" s="184">
        <v>0</v>
      </c>
      <c r="AA413" s="184">
        <v>0</v>
      </c>
      <c r="AB413" s="184">
        <v>0</v>
      </c>
      <c r="AC413" s="185">
        <v>44</v>
      </c>
      <c r="AD413" s="185" t="s">
        <v>24</v>
      </c>
      <c r="AE413" s="184">
        <v>0</v>
      </c>
      <c r="AF413" s="185">
        <v>0</v>
      </c>
      <c r="AG413" s="184">
        <v>0</v>
      </c>
      <c r="AH413" s="185">
        <v>0</v>
      </c>
      <c r="AI413" s="184">
        <v>0</v>
      </c>
      <c r="AJ413" s="643">
        <v>0</v>
      </c>
    </row>
    <row r="414" spans="1:36" x14ac:dyDescent="0.2">
      <c r="A414" s="190" t="s">
        <v>119</v>
      </c>
      <c r="B414" s="642">
        <v>15</v>
      </c>
      <c r="C414" s="184">
        <v>0</v>
      </c>
      <c r="D414" s="184">
        <v>14</v>
      </c>
      <c r="E414" s="184">
        <v>0</v>
      </c>
      <c r="F414" s="184">
        <v>1</v>
      </c>
      <c r="G414" s="184">
        <v>0</v>
      </c>
      <c r="H414" s="184">
        <v>0</v>
      </c>
      <c r="I414" s="184">
        <v>0</v>
      </c>
      <c r="J414" s="184">
        <v>0</v>
      </c>
      <c r="K414" s="184">
        <v>0</v>
      </c>
      <c r="L414" s="184">
        <v>0</v>
      </c>
      <c r="M414" s="616" t="s">
        <v>24</v>
      </c>
      <c r="N414" s="585" t="s">
        <v>119</v>
      </c>
      <c r="O414" s="191">
        <v>0</v>
      </c>
      <c r="P414" s="184">
        <v>0</v>
      </c>
      <c r="Q414" s="184">
        <v>0</v>
      </c>
      <c r="R414" s="184">
        <v>0</v>
      </c>
      <c r="S414" s="184">
        <v>0</v>
      </c>
      <c r="T414" s="184">
        <v>1</v>
      </c>
      <c r="U414" s="184">
        <v>6</v>
      </c>
      <c r="V414" s="184">
        <v>4</v>
      </c>
      <c r="W414" s="184">
        <v>2</v>
      </c>
      <c r="X414" s="184">
        <v>2</v>
      </c>
      <c r="Y414" s="184">
        <v>0</v>
      </c>
      <c r="Z414" s="184">
        <v>0</v>
      </c>
      <c r="AA414" s="184">
        <v>0</v>
      </c>
      <c r="AB414" s="184">
        <v>0</v>
      </c>
      <c r="AC414" s="185">
        <v>42.3</v>
      </c>
      <c r="AD414" s="185">
        <v>50.3</v>
      </c>
      <c r="AE414" s="184">
        <v>0</v>
      </c>
      <c r="AF414" s="185">
        <v>0</v>
      </c>
      <c r="AG414" s="184">
        <v>0</v>
      </c>
      <c r="AH414" s="185">
        <v>0</v>
      </c>
      <c r="AI414" s="184">
        <v>0</v>
      </c>
      <c r="AJ414" s="643">
        <v>0</v>
      </c>
    </row>
    <row r="415" spans="1:36" x14ac:dyDescent="0.2">
      <c r="A415" s="190" t="s">
        <v>120</v>
      </c>
      <c r="B415" s="642">
        <v>10</v>
      </c>
      <c r="C415" s="184">
        <v>0</v>
      </c>
      <c r="D415" s="184">
        <v>9</v>
      </c>
      <c r="E415" s="184">
        <v>0</v>
      </c>
      <c r="F415" s="184">
        <v>1</v>
      </c>
      <c r="G415" s="184">
        <v>0</v>
      </c>
      <c r="H415" s="184">
        <v>0</v>
      </c>
      <c r="I415" s="184">
        <v>0</v>
      </c>
      <c r="J415" s="184">
        <v>0</v>
      </c>
      <c r="K415" s="184">
        <v>0</v>
      </c>
      <c r="L415" s="184">
        <v>0</v>
      </c>
      <c r="M415" s="616" t="s">
        <v>24</v>
      </c>
      <c r="N415" s="585" t="s">
        <v>120</v>
      </c>
      <c r="O415" s="191">
        <v>0</v>
      </c>
      <c r="P415" s="184">
        <v>0</v>
      </c>
      <c r="Q415" s="184">
        <v>0</v>
      </c>
      <c r="R415" s="184">
        <v>0</v>
      </c>
      <c r="S415" s="184">
        <v>0</v>
      </c>
      <c r="T415" s="184">
        <v>1</v>
      </c>
      <c r="U415" s="184">
        <v>1</v>
      </c>
      <c r="V415" s="184">
        <v>3</v>
      </c>
      <c r="W415" s="184">
        <v>1</v>
      </c>
      <c r="X415" s="184">
        <v>4</v>
      </c>
      <c r="Y415" s="184">
        <v>0</v>
      </c>
      <c r="Z415" s="184">
        <v>0</v>
      </c>
      <c r="AA415" s="184">
        <v>0</v>
      </c>
      <c r="AB415" s="184">
        <v>0</v>
      </c>
      <c r="AC415" s="185">
        <v>47</v>
      </c>
      <c r="AD415" s="185" t="s">
        <v>24</v>
      </c>
      <c r="AE415" s="184">
        <v>0</v>
      </c>
      <c r="AF415" s="185">
        <v>0</v>
      </c>
      <c r="AG415" s="184">
        <v>0</v>
      </c>
      <c r="AH415" s="185">
        <v>0</v>
      </c>
      <c r="AI415" s="184">
        <v>0</v>
      </c>
      <c r="AJ415" s="643">
        <v>0</v>
      </c>
    </row>
    <row r="416" spans="1:36" x14ac:dyDescent="0.2">
      <c r="A416" s="190" t="s">
        <v>72</v>
      </c>
      <c r="B416" s="642">
        <v>11</v>
      </c>
      <c r="C416" s="184">
        <v>0</v>
      </c>
      <c r="D416" s="184">
        <v>11</v>
      </c>
      <c r="E416" s="184">
        <v>0</v>
      </c>
      <c r="F416" s="184">
        <v>0</v>
      </c>
      <c r="G416" s="184">
        <v>0</v>
      </c>
      <c r="H416" s="184">
        <v>0</v>
      </c>
      <c r="I416" s="184">
        <v>0</v>
      </c>
      <c r="J416" s="184">
        <v>0</v>
      </c>
      <c r="K416" s="184">
        <v>0</v>
      </c>
      <c r="L416" s="184">
        <v>0</v>
      </c>
      <c r="M416" s="616" t="s">
        <v>24</v>
      </c>
      <c r="N416" s="585" t="s">
        <v>72</v>
      </c>
      <c r="O416" s="191">
        <v>0</v>
      </c>
      <c r="P416" s="184">
        <v>0</v>
      </c>
      <c r="Q416" s="184">
        <v>0</v>
      </c>
      <c r="R416" s="184">
        <v>0</v>
      </c>
      <c r="S416" s="184">
        <v>1</v>
      </c>
      <c r="T416" s="184">
        <v>0</v>
      </c>
      <c r="U416" s="184">
        <v>2</v>
      </c>
      <c r="V416" s="184">
        <v>4</v>
      </c>
      <c r="W416" s="184">
        <v>2</v>
      </c>
      <c r="X416" s="184">
        <v>2</v>
      </c>
      <c r="Y416" s="184">
        <v>0</v>
      </c>
      <c r="Z416" s="184">
        <v>0</v>
      </c>
      <c r="AA416" s="184">
        <v>0</v>
      </c>
      <c r="AB416" s="184">
        <v>0</v>
      </c>
      <c r="AC416" s="185">
        <v>44.2</v>
      </c>
      <c r="AD416" s="185">
        <v>59.3</v>
      </c>
      <c r="AE416" s="184">
        <v>0</v>
      </c>
      <c r="AF416" s="185">
        <v>0</v>
      </c>
      <c r="AG416" s="184">
        <v>0</v>
      </c>
      <c r="AH416" s="185">
        <v>0</v>
      </c>
      <c r="AI416" s="184">
        <v>0</v>
      </c>
      <c r="AJ416" s="643">
        <v>0</v>
      </c>
    </row>
    <row r="417" spans="1:36" x14ac:dyDescent="0.2">
      <c r="A417" s="190" t="s">
        <v>121</v>
      </c>
      <c r="B417" s="642">
        <v>6</v>
      </c>
      <c r="C417" s="184">
        <v>0</v>
      </c>
      <c r="D417" s="184">
        <v>5</v>
      </c>
      <c r="E417" s="184">
        <v>0</v>
      </c>
      <c r="F417" s="184">
        <v>1</v>
      </c>
      <c r="G417" s="184">
        <v>0</v>
      </c>
      <c r="H417" s="184">
        <v>0</v>
      </c>
      <c r="I417" s="184">
        <v>0</v>
      </c>
      <c r="J417" s="184">
        <v>0</v>
      </c>
      <c r="K417" s="184">
        <v>0</v>
      </c>
      <c r="L417" s="184">
        <v>0</v>
      </c>
      <c r="M417" s="616" t="s">
        <v>24</v>
      </c>
      <c r="N417" s="585" t="s">
        <v>121</v>
      </c>
      <c r="O417" s="191">
        <v>0</v>
      </c>
      <c r="P417" s="184">
        <v>0</v>
      </c>
      <c r="Q417" s="184">
        <v>0</v>
      </c>
      <c r="R417" s="184">
        <v>0</v>
      </c>
      <c r="S417" s="184">
        <v>0</v>
      </c>
      <c r="T417" s="184">
        <v>0</v>
      </c>
      <c r="U417" s="184">
        <v>1</v>
      </c>
      <c r="V417" s="184">
        <v>2</v>
      </c>
      <c r="W417" s="184">
        <v>2</v>
      </c>
      <c r="X417" s="184">
        <v>1</v>
      </c>
      <c r="Y417" s="184">
        <v>0</v>
      </c>
      <c r="Z417" s="184">
        <v>0</v>
      </c>
      <c r="AA417" s="184">
        <v>0</v>
      </c>
      <c r="AB417" s="184">
        <v>0</v>
      </c>
      <c r="AC417" s="185">
        <v>44.7</v>
      </c>
      <c r="AD417" s="185" t="s">
        <v>24</v>
      </c>
      <c r="AE417" s="184">
        <v>0</v>
      </c>
      <c r="AF417" s="185">
        <v>0</v>
      </c>
      <c r="AG417" s="184">
        <v>0</v>
      </c>
      <c r="AH417" s="185">
        <v>0</v>
      </c>
      <c r="AI417" s="184">
        <v>0</v>
      </c>
      <c r="AJ417" s="643">
        <v>0</v>
      </c>
    </row>
    <row r="418" spans="1:36" x14ac:dyDescent="0.2">
      <c r="A418" s="190" t="s">
        <v>122</v>
      </c>
      <c r="B418" s="642">
        <v>6</v>
      </c>
      <c r="C418" s="184">
        <v>0</v>
      </c>
      <c r="D418" s="184">
        <v>6</v>
      </c>
      <c r="E418" s="184">
        <v>0</v>
      </c>
      <c r="F418" s="184">
        <v>0</v>
      </c>
      <c r="G418" s="184">
        <v>0</v>
      </c>
      <c r="H418" s="184">
        <v>0</v>
      </c>
      <c r="I418" s="184">
        <v>0</v>
      </c>
      <c r="J418" s="184">
        <v>0</v>
      </c>
      <c r="K418" s="184">
        <v>0</v>
      </c>
      <c r="L418" s="184">
        <v>0</v>
      </c>
      <c r="M418" s="616" t="s">
        <v>24</v>
      </c>
      <c r="N418" s="585" t="s">
        <v>122</v>
      </c>
      <c r="O418" s="191">
        <v>0</v>
      </c>
      <c r="P418" s="184">
        <v>0</v>
      </c>
      <c r="Q418" s="184">
        <v>0</v>
      </c>
      <c r="R418" s="184">
        <v>0</v>
      </c>
      <c r="S418" s="184">
        <v>0</v>
      </c>
      <c r="T418" s="184">
        <v>0</v>
      </c>
      <c r="U418" s="184">
        <v>3</v>
      </c>
      <c r="V418" s="184">
        <v>2</v>
      </c>
      <c r="W418" s="184">
        <v>1</v>
      </c>
      <c r="X418" s="184">
        <v>0</v>
      </c>
      <c r="Y418" s="184">
        <v>0</v>
      </c>
      <c r="Z418" s="184">
        <v>0</v>
      </c>
      <c r="AA418" s="184">
        <v>0</v>
      </c>
      <c r="AB418" s="184">
        <v>0</v>
      </c>
      <c r="AC418" s="185">
        <v>39.4</v>
      </c>
      <c r="AD418" s="185" t="s">
        <v>24</v>
      </c>
      <c r="AE418" s="184">
        <v>0</v>
      </c>
      <c r="AF418" s="185">
        <v>0</v>
      </c>
      <c r="AG418" s="184">
        <v>0</v>
      </c>
      <c r="AH418" s="185">
        <v>0</v>
      </c>
      <c r="AI418" s="184">
        <v>0</v>
      </c>
      <c r="AJ418" s="643">
        <v>0</v>
      </c>
    </row>
    <row r="419" spans="1:36" x14ac:dyDescent="0.2">
      <c r="A419" s="190" t="s">
        <v>123</v>
      </c>
      <c r="B419" s="642">
        <v>6</v>
      </c>
      <c r="C419" s="184">
        <v>0</v>
      </c>
      <c r="D419" s="184">
        <v>6</v>
      </c>
      <c r="E419" s="184">
        <v>0</v>
      </c>
      <c r="F419" s="184">
        <v>0</v>
      </c>
      <c r="G419" s="184">
        <v>0</v>
      </c>
      <c r="H419" s="184">
        <v>0</v>
      </c>
      <c r="I419" s="184">
        <v>0</v>
      </c>
      <c r="J419" s="184">
        <v>0</v>
      </c>
      <c r="K419" s="184">
        <v>0</v>
      </c>
      <c r="L419" s="184">
        <v>0</v>
      </c>
      <c r="M419" s="616" t="s">
        <v>24</v>
      </c>
      <c r="N419" s="585" t="s">
        <v>123</v>
      </c>
      <c r="O419" s="191">
        <v>0</v>
      </c>
      <c r="P419" s="184">
        <v>0</v>
      </c>
      <c r="Q419" s="184">
        <v>0</v>
      </c>
      <c r="R419" s="184">
        <v>0</v>
      </c>
      <c r="S419" s="184">
        <v>0</v>
      </c>
      <c r="T419" s="184">
        <v>0</v>
      </c>
      <c r="U419" s="184">
        <v>2</v>
      </c>
      <c r="V419" s="184">
        <v>2</v>
      </c>
      <c r="W419" s="184">
        <v>1</v>
      </c>
      <c r="X419" s="184">
        <v>1</v>
      </c>
      <c r="Y419" s="184">
        <v>0</v>
      </c>
      <c r="Z419" s="184">
        <v>0</v>
      </c>
      <c r="AA419" s="184">
        <v>0</v>
      </c>
      <c r="AB419" s="184">
        <v>0</v>
      </c>
      <c r="AC419" s="185">
        <v>44.7</v>
      </c>
      <c r="AD419" s="185" t="s">
        <v>24</v>
      </c>
      <c r="AE419" s="184">
        <v>0</v>
      </c>
      <c r="AF419" s="185">
        <v>0</v>
      </c>
      <c r="AG419" s="184">
        <v>0</v>
      </c>
      <c r="AH419" s="185">
        <v>0</v>
      </c>
      <c r="AI419" s="184">
        <v>0</v>
      </c>
      <c r="AJ419" s="643">
        <v>0</v>
      </c>
    </row>
    <row r="420" spans="1:36" x14ac:dyDescent="0.2">
      <c r="A420" s="190" t="s">
        <v>74</v>
      </c>
      <c r="B420" s="642">
        <v>11</v>
      </c>
      <c r="C420" s="184">
        <v>0</v>
      </c>
      <c r="D420" s="184">
        <v>11</v>
      </c>
      <c r="E420" s="184">
        <v>0</v>
      </c>
      <c r="F420" s="184">
        <v>0</v>
      </c>
      <c r="G420" s="184">
        <v>0</v>
      </c>
      <c r="H420" s="184">
        <v>0</v>
      </c>
      <c r="I420" s="184">
        <v>0</v>
      </c>
      <c r="J420" s="184">
        <v>0</v>
      </c>
      <c r="K420" s="184">
        <v>0</v>
      </c>
      <c r="L420" s="184">
        <v>0</v>
      </c>
      <c r="M420" s="616" t="s">
        <v>24</v>
      </c>
      <c r="N420" s="585" t="s">
        <v>74</v>
      </c>
      <c r="O420" s="191">
        <v>0</v>
      </c>
      <c r="P420" s="184">
        <v>0</v>
      </c>
      <c r="Q420" s="184">
        <v>0</v>
      </c>
      <c r="R420" s="184">
        <v>0</v>
      </c>
      <c r="S420" s="184">
        <v>0</v>
      </c>
      <c r="T420" s="184">
        <v>0</v>
      </c>
      <c r="U420" s="184">
        <v>4</v>
      </c>
      <c r="V420" s="184">
        <v>2</v>
      </c>
      <c r="W420" s="184">
        <v>3</v>
      </c>
      <c r="X420" s="184">
        <v>2</v>
      </c>
      <c r="Y420" s="184">
        <v>0</v>
      </c>
      <c r="Z420" s="184">
        <v>0</v>
      </c>
      <c r="AA420" s="184">
        <v>0</v>
      </c>
      <c r="AB420" s="184">
        <v>0</v>
      </c>
      <c r="AC420" s="185">
        <v>43.3</v>
      </c>
      <c r="AD420" s="185">
        <v>51</v>
      </c>
      <c r="AE420" s="184">
        <v>0</v>
      </c>
      <c r="AF420" s="185">
        <v>0</v>
      </c>
      <c r="AG420" s="184">
        <v>0</v>
      </c>
      <c r="AH420" s="185">
        <v>0</v>
      </c>
      <c r="AI420" s="184">
        <v>0</v>
      </c>
      <c r="AJ420" s="643">
        <v>0</v>
      </c>
    </row>
    <row r="421" spans="1:36" x14ac:dyDescent="0.2">
      <c r="A421" s="190" t="s">
        <v>124</v>
      </c>
      <c r="B421" s="642">
        <v>7</v>
      </c>
      <c r="C421" s="184">
        <v>0</v>
      </c>
      <c r="D421" s="184">
        <v>7</v>
      </c>
      <c r="E421" s="184">
        <v>0</v>
      </c>
      <c r="F421" s="184">
        <v>0</v>
      </c>
      <c r="G421" s="184">
        <v>0</v>
      </c>
      <c r="H421" s="184">
        <v>0</v>
      </c>
      <c r="I421" s="184">
        <v>0</v>
      </c>
      <c r="J421" s="184">
        <v>0</v>
      </c>
      <c r="K421" s="184">
        <v>0</v>
      </c>
      <c r="L421" s="184">
        <v>0</v>
      </c>
      <c r="M421" s="616" t="s">
        <v>24</v>
      </c>
      <c r="N421" s="585" t="s">
        <v>124</v>
      </c>
      <c r="O421" s="191">
        <v>0</v>
      </c>
      <c r="P421" s="184">
        <v>0</v>
      </c>
      <c r="Q421" s="184">
        <v>0</v>
      </c>
      <c r="R421" s="184">
        <v>0</v>
      </c>
      <c r="S421" s="184">
        <v>1</v>
      </c>
      <c r="T421" s="184">
        <v>0</v>
      </c>
      <c r="U421" s="184">
        <v>0</v>
      </c>
      <c r="V421" s="184">
        <v>1</v>
      </c>
      <c r="W421" s="184">
        <v>1</v>
      </c>
      <c r="X421" s="184">
        <v>1</v>
      </c>
      <c r="Y421" s="184">
        <v>2</v>
      </c>
      <c r="Z421" s="184">
        <v>0</v>
      </c>
      <c r="AA421" s="184">
        <v>1</v>
      </c>
      <c r="AB421" s="184">
        <v>0</v>
      </c>
      <c r="AC421" s="185">
        <v>53.6</v>
      </c>
      <c r="AD421" s="185" t="s">
        <v>24</v>
      </c>
      <c r="AE421" s="184">
        <v>3</v>
      </c>
      <c r="AF421" s="185">
        <v>42.857142857142854</v>
      </c>
      <c r="AG421" s="184">
        <v>1</v>
      </c>
      <c r="AH421" s="185">
        <v>14.285714285714285</v>
      </c>
      <c r="AI421" s="184">
        <v>1</v>
      </c>
      <c r="AJ421" s="643">
        <v>14.285714285714285</v>
      </c>
    </row>
    <row r="422" spans="1:36" x14ac:dyDescent="0.2">
      <c r="A422" s="190" t="s">
        <v>125</v>
      </c>
      <c r="B422" s="642">
        <v>2</v>
      </c>
      <c r="C422" s="184">
        <v>0</v>
      </c>
      <c r="D422" s="184">
        <v>2</v>
      </c>
      <c r="E422" s="184">
        <v>0</v>
      </c>
      <c r="F422" s="184">
        <v>0</v>
      </c>
      <c r="G422" s="184">
        <v>0</v>
      </c>
      <c r="H422" s="184">
        <v>0</v>
      </c>
      <c r="I422" s="184">
        <v>0</v>
      </c>
      <c r="J422" s="184">
        <v>0</v>
      </c>
      <c r="K422" s="184">
        <v>0</v>
      </c>
      <c r="L422" s="184">
        <v>0</v>
      </c>
      <c r="M422" s="616" t="s">
        <v>24</v>
      </c>
      <c r="N422" s="585" t="s">
        <v>125</v>
      </c>
      <c r="O422" s="191">
        <v>0</v>
      </c>
      <c r="P422" s="184">
        <v>0</v>
      </c>
      <c r="Q422" s="184">
        <v>0</v>
      </c>
      <c r="R422" s="184">
        <v>0</v>
      </c>
      <c r="S422" s="184">
        <v>0</v>
      </c>
      <c r="T422" s="184">
        <v>0</v>
      </c>
      <c r="U422" s="184">
        <v>0</v>
      </c>
      <c r="V422" s="184">
        <v>1</v>
      </c>
      <c r="W422" s="184">
        <v>0</v>
      </c>
      <c r="X422" s="184">
        <v>1</v>
      </c>
      <c r="Y422" s="184">
        <v>0</v>
      </c>
      <c r="Z422" s="184">
        <v>0</v>
      </c>
      <c r="AA422" s="184">
        <v>0</v>
      </c>
      <c r="AB422" s="184">
        <v>0</v>
      </c>
      <c r="AC422" s="185">
        <v>45.9</v>
      </c>
      <c r="AD422" s="185" t="s">
        <v>24</v>
      </c>
      <c r="AE422" s="184">
        <v>0</v>
      </c>
      <c r="AF422" s="185">
        <v>0</v>
      </c>
      <c r="AG422" s="184">
        <v>0</v>
      </c>
      <c r="AH422" s="185">
        <v>0</v>
      </c>
      <c r="AI422" s="184">
        <v>0</v>
      </c>
      <c r="AJ422" s="643">
        <v>0</v>
      </c>
    </row>
    <row r="423" spans="1:36" x14ac:dyDescent="0.2">
      <c r="A423" s="190" t="s">
        <v>126</v>
      </c>
      <c r="B423" s="642">
        <v>5</v>
      </c>
      <c r="C423" s="184">
        <v>0</v>
      </c>
      <c r="D423" s="184">
        <v>5</v>
      </c>
      <c r="E423" s="184">
        <v>0</v>
      </c>
      <c r="F423" s="184">
        <v>0</v>
      </c>
      <c r="G423" s="184">
        <v>0</v>
      </c>
      <c r="H423" s="184">
        <v>0</v>
      </c>
      <c r="I423" s="184">
        <v>0</v>
      </c>
      <c r="J423" s="184">
        <v>0</v>
      </c>
      <c r="K423" s="184">
        <v>0</v>
      </c>
      <c r="L423" s="184">
        <v>0</v>
      </c>
      <c r="M423" s="616" t="s">
        <v>24</v>
      </c>
      <c r="N423" s="585" t="s">
        <v>126</v>
      </c>
      <c r="O423" s="191">
        <v>0</v>
      </c>
      <c r="P423" s="184">
        <v>0</v>
      </c>
      <c r="Q423" s="184">
        <v>0</v>
      </c>
      <c r="R423" s="184">
        <v>0</v>
      </c>
      <c r="S423" s="184">
        <v>0</v>
      </c>
      <c r="T423" s="184">
        <v>0</v>
      </c>
      <c r="U423" s="184">
        <v>1</v>
      </c>
      <c r="V423" s="184">
        <v>2</v>
      </c>
      <c r="W423" s="184">
        <v>1</v>
      </c>
      <c r="X423" s="184">
        <v>1</v>
      </c>
      <c r="Y423" s="184">
        <v>0</v>
      </c>
      <c r="Z423" s="184">
        <v>0</v>
      </c>
      <c r="AA423" s="184">
        <v>0</v>
      </c>
      <c r="AB423" s="184">
        <v>0</v>
      </c>
      <c r="AC423" s="185">
        <v>44.5</v>
      </c>
      <c r="AD423" s="185" t="s">
        <v>24</v>
      </c>
      <c r="AE423" s="184">
        <v>0</v>
      </c>
      <c r="AF423" s="185">
        <v>0</v>
      </c>
      <c r="AG423" s="184">
        <v>0</v>
      </c>
      <c r="AH423" s="185">
        <v>0</v>
      </c>
      <c r="AI423" s="184">
        <v>0</v>
      </c>
      <c r="AJ423" s="643">
        <v>0</v>
      </c>
    </row>
    <row r="424" spans="1:36" x14ac:dyDescent="0.2">
      <c r="A424" s="190" t="s">
        <v>76</v>
      </c>
      <c r="B424" s="642">
        <v>2</v>
      </c>
      <c r="C424" s="184">
        <v>0</v>
      </c>
      <c r="D424" s="184">
        <v>2</v>
      </c>
      <c r="E424" s="184">
        <v>0</v>
      </c>
      <c r="F424" s="184">
        <v>0</v>
      </c>
      <c r="G424" s="184">
        <v>0</v>
      </c>
      <c r="H424" s="184">
        <v>0</v>
      </c>
      <c r="I424" s="184">
        <v>0</v>
      </c>
      <c r="J424" s="184">
        <v>0</v>
      </c>
      <c r="K424" s="184">
        <v>0</v>
      </c>
      <c r="L424" s="184">
        <v>0</v>
      </c>
      <c r="M424" s="616" t="s">
        <v>24</v>
      </c>
      <c r="N424" s="585" t="s">
        <v>76</v>
      </c>
      <c r="O424" s="191">
        <v>0</v>
      </c>
      <c r="P424" s="184">
        <v>0</v>
      </c>
      <c r="Q424" s="184">
        <v>0</v>
      </c>
      <c r="R424" s="184">
        <v>0</v>
      </c>
      <c r="S424" s="184">
        <v>0</v>
      </c>
      <c r="T424" s="184">
        <v>0</v>
      </c>
      <c r="U424" s="184">
        <v>1</v>
      </c>
      <c r="V424" s="184">
        <v>0</v>
      </c>
      <c r="W424" s="184">
        <v>0</v>
      </c>
      <c r="X424" s="184">
        <v>1</v>
      </c>
      <c r="Y424" s="184">
        <v>0</v>
      </c>
      <c r="Z424" s="184">
        <v>0</v>
      </c>
      <c r="AA424" s="184">
        <v>0</v>
      </c>
      <c r="AB424" s="184">
        <v>0</v>
      </c>
      <c r="AC424" s="185">
        <v>45.2</v>
      </c>
      <c r="AD424" s="185" t="s">
        <v>24</v>
      </c>
      <c r="AE424" s="184">
        <v>0</v>
      </c>
      <c r="AF424" s="185">
        <v>0</v>
      </c>
      <c r="AG424" s="184">
        <v>0</v>
      </c>
      <c r="AH424" s="185">
        <v>0</v>
      </c>
      <c r="AI424" s="184">
        <v>0</v>
      </c>
      <c r="AJ424" s="643">
        <v>0</v>
      </c>
    </row>
    <row r="425" spans="1:36" x14ac:dyDescent="0.2">
      <c r="A425" s="190" t="s">
        <v>127</v>
      </c>
      <c r="B425" s="642">
        <v>1</v>
      </c>
      <c r="C425" s="184">
        <v>0</v>
      </c>
      <c r="D425" s="184">
        <v>1</v>
      </c>
      <c r="E425" s="184">
        <v>0</v>
      </c>
      <c r="F425" s="184">
        <v>0</v>
      </c>
      <c r="G425" s="184">
        <v>0</v>
      </c>
      <c r="H425" s="184">
        <v>0</v>
      </c>
      <c r="I425" s="184">
        <v>0</v>
      </c>
      <c r="J425" s="184">
        <v>0</v>
      </c>
      <c r="K425" s="184">
        <v>0</v>
      </c>
      <c r="L425" s="184">
        <v>0</v>
      </c>
      <c r="M425" s="616" t="s">
        <v>24</v>
      </c>
      <c r="N425" s="585" t="s">
        <v>127</v>
      </c>
      <c r="O425" s="191">
        <v>0</v>
      </c>
      <c r="P425" s="184">
        <v>0</v>
      </c>
      <c r="Q425" s="184">
        <v>0</v>
      </c>
      <c r="R425" s="184">
        <v>0</v>
      </c>
      <c r="S425" s="184">
        <v>0</v>
      </c>
      <c r="T425" s="184">
        <v>0</v>
      </c>
      <c r="U425" s="184">
        <v>0</v>
      </c>
      <c r="V425" s="184">
        <v>1</v>
      </c>
      <c r="W425" s="184">
        <v>0</v>
      </c>
      <c r="X425" s="184">
        <v>0</v>
      </c>
      <c r="Y425" s="184">
        <v>0</v>
      </c>
      <c r="Z425" s="184">
        <v>0</v>
      </c>
      <c r="AA425" s="184">
        <v>0</v>
      </c>
      <c r="AB425" s="184">
        <v>0</v>
      </c>
      <c r="AC425" s="185">
        <v>42.8</v>
      </c>
      <c r="AD425" s="185" t="s">
        <v>24</v>
      </c>
      <c r="AE425" s="184">
        <v>0</v>
      </c>
      <c r="AF425" s="185">
        <v>0</v>
      </c>
      <c r="AG425" s="184">
        <v>0</v>
      </c>
      <c r="AH425" s="185">
        <v>0</v>
      </c>
      <c r="AI425" s="184">
        <v>0</v>
      </c>
      <c r="AJ425" s="643">
        <v>0</v>
      </c>
    </row>
    <row r="426" spans="1:36" x14ac:dyDescent="0.2">
      <c r="A426" s="190" t="s">
        <v>128</v>
      </c>
      <c r="B426" s="642">
        <v>3</v>
      </c>
      <c r="C426" s="184">
        <v>0</v>
      </c>
      <c r="D426" s="184">
        <v>3</v>
      </c>
      <c r="E426" s="184">
        <v>0</v>
      </c>
      <c r="F426" s="184">
        <v>0</v>
      </c>
      <c r="G426" s="184">
        <v>0</v>
      </c>
      <c r="H426" s="184">
        <v>0</v>
      </c>
      <c r="I426" s="184">
        <v>0</v>
      </c>
      <c r="J426" s="184">
        <v>0</v>
      </c>
      <c r="K426" s="184">
        <v>0</v>
      </c>
      <c r="L426" s="184">
        <v>0</v>
      </c>
      <c r="M426" s="616" t="s">
        <v>24</v>
      </c>
      <c r="N426" s="585" t="s">
        <v>128</v>
      </c>
      <c r="O426" s="191">
        <v>0</v>
      </c>
      <c r="P426" s="184">
        <v>0</v>
      </c>
      <c r="Q426" s="184">
        <v>0</v>
      </c>
      <c r="R426" s="184">
        <v>0</v>
      </c>
      <c r="S426" s="184">
        <v>0</v>
      </c>
      <c r="T426" s="184">
        <v>0</v>
      </c>
      <c r="U426" s="184">
        <v>1</v>
      </c>
      <c r="V426" s="184">
        <v>0</v>
      </c>
      <c r="W426" s="184">
        <v>2</v>
      </c>
      <c r="X426" s="184">
        <v>0</v>
      </c>
      <c r="Y426" s="184">
        <v>0</v>
      </c>
      <c r="Z426" s="184">
        <v>0</v>
      </c>
      <c r="AA426" s="184">
        <v>0</v>
      </c>
      <c r="AB426" s="184">
        <v>0</v>
      </c>
      <c r="AC426" s="185">
        <v>42.4</v>
      </c>
      <c r="AD426" s="185" t="s">
        <v>24</v>
      </c>
      <c r="AE426" s="184">
        <v>0</v>
      </c>
      <c r="AF426" s="185">
        <v>0</v>
      </c>
      <c r="AG426" s="184">
        <v>0</v>
      </c>
      <c r="AH426" s="185">
        <v>0</v>
      </c>
      <c r="AI426" s="184">
        <v>0</v>
      </c>
      <c r="AJ426" s="643">
        <v>0</v>
      </c>
    </row>
    <row r="427" spans="1:36" x14ac:dyDescent="0.2">
      <c r="A427" s="190" t="s">
        <v>129</v>
      </c>
      <c r="B427" s="642">
        <v>3</v>
      </c>
      <c r="C427" s="184">
        <v>0</v>
      </c>
      <c r="D427" s="184">
        <v>3</v>
      </c>
      <c r="E427" s="184">
        <v>0</v>
      </c>
      <c r="F427" s="184">
        <v>0</v>
      </c>
      <c r="G427" s="184">
        <v>0</v>
      </c>
      <c r="H427" s="184">
        <v>0</v>
      </c>
      <c r="I427" s="184">
        <v>0</v>
      </c>
      <c r="J427" s="184">
        <v>0</v>
      </c>
      <c r="K427" s="184">
        <v>0</v>
      </c>
      <c r="L427" s="184">
        <v>0</v>
      </c>
      <c r="M427" s="616" t="s">
        <v>24</v>
      </c>
      <c r="N427" s="585" t="s">
        <v>129</v>
      </c>
      <c r="O427" s="191">
        <v>0</v>
      </c>
      <c r="P427" s="184">
        <v>0</v>
      </c>
      <c r="Q427" s="184">
        <v>0</v>
      </c>
      <c r="R427" s="184">
        <v>0</v>
      </c>
      <c r="S427" s="184">
        <v>0</v>
      </c>
      <c r="T427" s="184">
        <v>1</v>
      </c>
      <c r="U427" s="184">
        <v>0</v>
      </c>
      <c r="V427" s="184">
        <v>1</v>
      </c>
      <c r="W427" s="184">
        <v>1</v>
      </c>
      <c r="X427" s="184">
        <v>0</v>
      </c>
      <c r="Y427" s="184">
        <v>0</v>
      </c>
      <c r="Z427" s="184">
        <v>0</v>
      </c>
      <c r="AA427" s="184">
        <v>0</v>
      </c>
      <c r="AB427" s="184">
        <v>0</v>
      </c>
      <c r="AC427" s="185">
        <v>41</v>
      </c>
      <c r="AD427" s="185" t="s">
        <v>24</v>
      </c>
      <c r="AE427" s="184">
        <v>0</v>
      </c>
      <c r="AF427" s="185">
        <v>0</v>
      </c>
      <c r="AG427" s="184">
        <v>0</v>
      </c>
      <c r="AH427" s="185">
        <v>0</v>
      </c>
      <c r="AI427" s="184">
        <v>0</v>
      </c>
      <c r="AJ427" s="643">
        <v>0</v>
      </c>
    </row>
    <row r="428" spans="1:36" x14ac:dyDescent="0.2">
      <c r="A428" s="190" t="s">
        <v>78</v>
      </c>
      <c r="B428" s="642">
        <v>3</v>
      </c>
      <c r="C428" s="184">
        <v>0</v>
      </c>
      <c r="D428" s="184">
        <v>3</v>
      </c>
      <c r="E428" s="184">
        <v>0</v>
      </c>
      <c r="F428" s="184">
        <v>0</v>
      </c>
      <c r="G428" s="184">
        <v>0</v>
      </c>
      <c r="H428" s="184">
        <v>0</v>
      </c>
      <c r="I428" s="184">
        <v>0</v>
      </c>
      <c r="J428" s="184">
        <v>0</v>
      </c>
      <c r="K428" s="184">
        <v>0</v>
      </c>
      <c r="L428" s="184">
        <v>0</v>
      </c>
      <c r="M428" s="616" t="s">
        <v>24</v>
      </c>
      <c r="N428" s="585" t="s">
        <v>78</v>
      </c>
      <c r="O428" s="191">
        <v>0</v>
      </c>
      <c r="P428" s="184">
        <v>0</v>
      </c>
      <c r="Q428" s="184">
        <v>0</v>
      </c>
      <c r="R428" s="184">
        <v>0</v>
      </c>
      <c r="S428" s="184">
        <v>0</v>
      </c>
      <c r="T428" s="184">
        <v>0</v>
      </c>
      <c r="U428" s="184">
        <v>1</v>
      </c>
      <c r="V428" s="184">
        <v>1</v>
      </c>
      <c r="W428" s="184">
        <v>0</v>
      </c>
      <c r="X428" s="184">
        <v>1</v>
      </c>
      <c r="Y428" s="184">
        <v>0</v>
      </c>
      <c r="Z428" s="184">
        <v>0</v>
      </c>
      <c r="AA428" s="184">
        <v>0</v>
      </c>
      <c r="AB428" s="184">
        <v>0</v>
      </c>
      <c r="AC428" s="185">
        <v>44</v>
      </c>
      <c r="AD428" s="185" t="s">
        <v>24</v>
      </c>
      <c r="AE428" s="184">
        <v>0</v>
      </c>
      <c r="AF428" s="185">
        <v>0</v>
      </c>
      <c r="AG428" s="184">
        <v>0</v>
      </c>
      <c r="AH428" s="185">
        <v>0</v>
      </c>
      <c r="AI428" s="184">
        <v>0</v>
      </c>
      <c r="AJ428" s="643">
        <v>0</v>
      </c>
    </row>
    <row r="429" spans="1:36" x14ac:dyDescent="0.2">
      <c r="A429" s="190" t="s">
        <v>130</v>
      </c>
      <c r="B429" s="642">
        <v>2</v>
      </c>
      <c r="C429" s="184">
        <v>0</v>
      </c>
      <c r="D429" s="184">
        <v>2</v>
      </c>
      <c r="E429" s="184">
        <v>0</v>
      </c>
      <c r="F429" s="184">
        <v>0</v>
      </c>
      <c r="G429" s="184">
        <v>0</v>
      </c>
      <c r="H429" s="184">
        <v>0</v>
      </c>
      <c r="I429" s="184">
        <v>0</v>
      </c>
      <c r="J429" s="184">
        <v>0</v>
      </c>
      <c r="K429" s="184">
        <v>0</v>
      </c>
      <c r="L429" s="184">
        <v>0</v>
      </c>
      <c r="M429" s="616" t="s">
        <v>24</v>
      </c>
      <c r="N429" s="585" t="s">
        <v>130</v>
      </c>
      <c r="O429" s="191">
        <v>0</v>
      </c>
      <c r="P429" s="184">
        <v>0</v>
      </c>
      <c r="Q429" s="184">
        <v>0</v>
      </c>
      <c r="R429" s="184">
        <v>0</v>
      </c>
      <c r="S429" s="184">
        <v>0</v>
      </c>
      <c r="T429" s="184">
        <v>0</v>
      </c>
      <c r="U429" s="184">
        <v>0</v>
      </c>
      <c r="V429" s="184">
        <v>0</v>
      </c>
      <c r="W429" s="184">
        <v>2</v>
      </c>
      <c r="X429" s="184">
        <v>0</v>
      </c>
      <c r="Y429" s="184">
        <v>0</v>
      </c>
      <c r="Z429" s="184">
        <v>0</v>
      </c>
      <c r="AA429" s="184">
        <v>0</v>
      </c>
      <c r="AB429" s="184">
        <v>0</v>
      </c>
      <c r="AC429" s="185">
        <v>45.4</v>
      </c>
      <c r="AD429" s="185" t="s">
        <v>24</v>
      </c>
      <c r="AE429" s="184">
        <v>0</v>
      </c>
      <c r="AF429" s="185">
        <v>0</v>
      </c>
      <c r="AG429" s="184">
        <v>0</v>
      </c>
      <c r="AH429" s="185">
        <v>0</v>
      </c>
      <c r="AI429" s="184">
        <v>0</v>
      </c>
      <c r="AJ429" s="643">
        <v>0</v>
      </c>
    </row>
    <row r="430" spans="1:36" x14ac:dyDescent="0.2">
      <c r="A430" s="190" t="s">
        <v>131</v>
      </c>
      <c r="B430" s="642">
        <v>4</v>
      </c>
      <c r="C430" s="184">
        <v>0</v>
      </c>
      <c r="D430" s="184">
        <v>4</v>
      </c>
      <c r="E430" s="184">
        <v>0</v>
      </c>
      <c r="F430" s="184">
        <v>0</v>
      </c>
      <c r="G430" s="184">
        <v>0</v>
      </c>
      <c r="H430" s="184">
        <v>0</v>
      </c>
      <c r="I430" s="184">
        <v>0</v>
      </c>
      <c r="J430" s="184">
        <v>0</v>
      </c>
      <c r="K430" s="184">
        <v>0</v>
      </c>
      <c r="L430" s="184">
        <v>0</v>
      </c>
      <c r="M430" s="616" t="s">
        <v>24</v>
      </c>
      <c r="N430" s="585" t="s">
        <v>131</v>
      </c>
      <c r="O430" s="191">
        <v>0</v>
      </c>
      <c r="P430" s="184">
        <v>0</v>
      </c>
      <c r="Q430" s="184">
        <v>0</v>
      </c>
      <c r="R430" s="184">
        <v>0</v>
      </c>
      <c r="S430" s="184">
        <v>0</v>
      </c>
      <c r="T430" s="184">
        <v>0</v>
      </c>
      <c r="U430" s="184">
        <v>2</v>
      </c>
      <c r="V430" s="184">
        <v>0</v>
      </c>
      <c r="W430" s="184">
        <v>0</v>
      </c>
      <c r="X430" s="184">
        <v>2</v>
      </c>
      <c r="Y430" s="184">
        <v>0</v>
      </c>
      <c r="Z430" s="184">
        <v>0</v>
      </c>
      <c r="AA430" s="184">
        <v>0</v>
      </c>
      <c r="AB430" s="184">
        <v>0</v>
      </c>
      <c r="AC430" s="185">
        <v>47.1</v>
      </c>
      <c r="AD430" s="185" t="s">
        <v>24</v>
      </c>
      <c r="AE430" s="184">
        <v>0</v>
      </c>
      <c r="AF430" s="185">
        <v>0</v>
      </c>
      <c r="AG430" s="184">
        <v>0</v>
      </c>
      <c r="AH430" s="185">
        <v>0</v>
      </c>
      <c r="AI430" s="184">
        <v>0</v>
      </c>
      <c r="AJ430" s="643">
        <v>0</v>
      </c>
    </row>
    <row r="431" spans="1:36" x14ac:dyDescent="0.2">
      <c r="A431" s="190" t="s">
        <v>132</v>
      </c>
      <c r="B431" s="648">
        <v>4</v>
      </c>
      <c r="C431" s="649">
        <v>0</v>
      </c>
      <c r="D431" s="649">
        <v>4</v>
      </c>
      <c r="E431" s="649">
        <v>0</v>
      </c>
      <c r="F431" s="649">
        <v>0</v>
      </c>
      <c r="G431" s="649">
        <v>0</v>
      </c>
      <c r="H431" s="649">
        <v>0</v>
      </c>
      <c r="I431" s="649">
        <v>0</v>
      </c>
      <c r="J431" s="649">
        <v>0</v>
      </c>
      <c r="K431" s="649">
        <v>0</v>
      </c>
      <c r="L431" s="649">
        <v>0</v>
      </c>
      <c r="M431" s="672" t="s">
        <v>24</v>
      </c>
      <c r="N431" s="586" t="s">
        <v>132</v>
      </c>
      <c r="O431" s="673">
        <v>0</v>
      </c>
      <c r="P431" s="649">
        <v>0</v>
      </c>
      <c r="Q431" s="649">
        <v>0</v>
      </c>
      <c r="R431" s="649">
        <v>0</v>
      </c>
      <c r="S431" s="649">
        <v>0</v>
      </c>
      <c r="T431" s="649">
        <v>0</v>
      </c>
      <c r="U431" s="649">
        <v>1</v>
      </c>
      <c r="V431" s="649">
        <v>1</v>
      </c>
      <c r="W431" s="649">
        <v>1</v>
      </c>
      <c r="X431" s="649">
        <v>1</v>
      </c>
      <c r="Y431" s="649">
        <v>0</v>
      </c>
      <c r="Z431" s="649">
        <v>0</v>
      </c>
      <c r="AA431" s="649">
        <v>0</v>
      </c>
      <c r="AB431" s="649">
        <v>0</v>
      </c>
      <c r="AC431" s="650">
        <v>44.8</v>
      </c>
      <c r="AD431" s="650" t="s">
        <v>24</v>
      </c>
      <c r="AE431" s="649">
        <v>0</v>
      </c>
      <c r="AF431" s="650">
        <v>0</v>
      </c>
      <c r="AG431" s="649">
        <v>0</v>
      </c>
      <c r="AH431" s="650">
        <v>0</v>
      </c>
      <c r="AI431" s="649">
        <v>0</v>
      </c>
      <c r="AJ431" s="651">
        <v>0</v>
      </c>
    </row>
    <row r="432" spans="1:36" x14ac:dyDescent="0.2">
      <c r="A432" s="190" t="s">
        <v>133</v>
      </c>
      <c r="B432" s="590">
        <v>634</v>
      </c>
      <c r="C432" s="591">
        <v>12</v>
      </c>
      <c r="D432" s="591">
        <v>541</v>
      </c>
      <c r="E432" s="591">
        <v>3</v>
      </c>
      <c r="F432" s="591">
        <v>70</v>
      </c>
      <c r="G432" s="591">
        <v>3</v>
      </c>
      <c r="H432" s="591">
        <v>0</v>
      </c>
      <c r="I432" s="591">
        <v>1</v>
      </c>
      <c r="J432" s="591">
        <v>2</v>
      </c>
      <c r="K432" s="591">
        <v>1</v>
      </c>
      <c r="L432" s="591">
        <v>1</v>
      </c>
      <c r="M432" s="591" t="s">
        <v>24</v>
      </c>
      <c r="N432" s="584" t="s">
        <v>133</v>
      </c>
      <c r="O432" s="591">
        <v>1</v>
      </c>
      <c r="P432" s="591">
        <v>5</v>
      </c>
      <c r="Q432" s="591">
        <v>11</v>
      </c>
      <c r="R432" s="591">
        <v>14</v>
      </c>
      <c r="S432" s="591">
        <v>28</v>
      </c>
      <c r="T432" s="591">
        <v>70</v>
      </c>
      <c r="U432" s="591">
        <v>142</v>
      </c>
      <c r="V432" s="591">
        <v>186</v>
      </c>
      <c r="W432" s="591">
        <v>90</v>
      </c>
      <c r="X432" s="591">
        <v>78</v>
      </c>
      <c r="Y432" s="591">
        <v>9</v>
      </c>
      <c r="Z432" s="591">
        <v>0</v>
      </c>
      <c r="AA432" s="591">
        <v>0</v>
      </c>
      <c r="AB432" s="591">
        <v>0</v>
      </c>
      <c r="AC432" s="606">
        <v>40.443750000000016</v>
      </c>
      <c r="AD432" s="606">
        <v>49.266666666666673</v>
      </c>
      <c r="AE432" s="591">
        <v>9</v>
      </c>
      <c r="AF432" s="606">
        <v>1.0199872591176939</v>
      </c>
      <c r="AG432" s="591">
        <v>0</v>
      </c>
      <c r="AH432" s="606">
        <v>0</v>
      </c>
      <c r="AI432" s="591">
        <v>0</v>
      </c>
      <c r="AJ432" s="607">
        <v>0</v>
      </c>
    </row>
    <row r="433" spans="1:36" x14ac:dyDescent="0.2">
      <c r="A433" s="190" t="s">
        <v>134</v>
      </c>
      <c r="B433" s="593">
        <v>745</v>
      </c>
      <c r="C433" s="181">
        <v>12</v>
      </c>
      <c r="D433" s="181">
        <v>647</v>
      </c>
      <c r="E433" s="181">
        <v>3</v>
      </c>
      <c r="F433" s="181">
        <v>75</v>
      </c>
      <c r="G433" s="181">
        <v>3</v>
      </c>
      <c r="H433" s="181">
        <v>0</v>
      </c>
      <c r="I433" s="181">
        <v>1</v>
      </c>
      <c r="J433" s="181">
        <v>2</v>
      </c>
      <c r="K433" s="181">
        <v>1</v>
      </c>
      <c r="L433" s="181">
        <v>1</v>
      </c>
      <c r="M433" s="181" t="s">
        <v>24</v>
      </c>
      <c r="N433" s="585" t="s">
        <v>134</v>
      </c>
      <c r="O433" s="181">
        <v>1</v>
      </c>
      <c r="P433" s="181">
        <v>5</v>
      </c>
      <c r="Q433" s="181">
        <v>11</v>
      </c>
      <c r="R433" s="181">
        <v>14</v>
      </c>
      <c r="S433" s="181">
        <v>31</v>
      </c>
      <c r="T433" s="181">
        <v>74</v>
      </c>
      <c r="U433" s="181">
        <v>163</v>
      </c>
      <c r="V433" s="181">
        <v>218</v>
      </c>
      <c r="W433" s="181">
        <v>113</v>
      </c>
      <c r="X433" s="181">
        <v>100</v>
      </c>
      <c r="Y433" s="181">
        <v>14</v>
      </c>
      <c r="Z433" s="181">
        <v>0</v>
      </c>
      <c r="AA433" s="181">
        <v>1</v>
      </c>
      <c r="AB433" s="181">
        <v>0</v>
      </c>
      <c r="AC433" s="182">
        <v>41.66875000000001</v>
      </c>
      <c r="AD433" s="182">
        <v>49.982352941176472</v>
      </c>
      <c r="AE433" s="181">
        <v>15</v>
      </c>
      <c r="AF433" s="182">
        <v>2.0484725871954135</v>
      </c>
      <c r="AG433" s="181">
        <v>1</v>
      </c>
      <c r="AH433" s="182">
        <v>0.2232142857142857</v>
      </c>
      <c r="AI433" s="181">
        <v>1</v>
      </c>
      <c r="AJ433" s="608">
        <v>0.2232142857142857</v>
      </c>
    </row>
    <row r="434" spans="1:36" x14ac:dyDescent="0.2">
      <c r="A434" s="190" t="s">
        <v>135</v>
      </c>
      <c r="B434" s="593">
        <v>767</v>
      </c>
      <c r="C434" s="181">
        <v>12</v>
      </c>
      <c r="D434" s="181">
        <v>669</v>
      </c>
      <c r="E434" s="181">
        <v>3</v>
      </c>
      <c r="F434" s="181">
        <v>75</v>
      </c>
      <c r="G434" s="181">
        <v>3</v>
      </c>
      <c r="H434" s="181">
        <v>0</v>
      </c>
      <c r="I434" s="181">
        <v>1</v>
      </c>
      <c r="J434" s="181">
        <v>2</v>
      </c>
      <c r="K434" s="181">
        <v>1</v>
      </c>
      <c r="L434" s="181">
        <v>1</v>
      </c>
      <c r="M434" s="181" t="s">
        <v>24</v>
      </c>
      <c r="N434" s="585" t="s">
        <v>135</v>
      </c>
      <c r="O434" s="181">
        <v>1</v>
      </c>
      <c r="P434" s="181">
        <v>5</v>
      </c>
      <c r="Q434" s="181">
        <v>11</v>
      </c>
      <c r="R434" s="181">
        <v>14</v>
      </c>
      <c r="S434" s="181">
        <v>31</v>
      </c>
      <c r="T434" s="181">
        <v>75</v>
      </c>
      <c r="U434" s="181">
        <v>169</v>
      </c>
      <c r="V434" s="181">
        <v>222</v>
      </c>
      <c r="W434" s="181">
        <v>119</v>
      </c>
      <c r="X434" s="181">
        <v>105</v>
      </c>
      <c r="Y434" s="181">
        <v>14</v>
      </c>
      <c r="Z434" s="181">
        <v>0</v>
      </c>
      <c r="AA434" s="181">
        <v>1</v>
      </c>
      <c r="AB434" s="181">
        <v>0</v>
      </c>
      <c r="AC434" s="182">
        <v>41.937500000000014</v>
      </c>
      <c r="AD434" s="182">
        <v>49.982352941176472</v>
      </c>
      <c r="AE434" s="181">
        <v>15</v>
      </c>
      <c r="AF434" s="182">
        <v>1.8208645219514787</v>
      </c>
      <c r="AG434" s="181">
        <v>1</v>
      </c>
      <c r="AH434" s="182">
        <v>0.1984126984126984</v>
      </c>
      <c r="AI434" s="181">
        <v>1</v>
      </c>
      <c r="AJ434" s="608">
        <v>0.1984126984126984</v>
      </c>
    </row>
    <row r="435" spans="1:36" x14ac:dyDescent="0.2">
      <c r="A435" s="190" t="s">
        <v>136</v>
      </c>
      <c r="B435" s="595">
        <v>779</v>
      </c>
      <c r="C435" s="596">
        <v>12</v>
      </c>
      <c r="D435" s="596">
        <v>680</v>
      </c>
      <c r="E435" s="596">
        <v>3</v>
      </c>
      <c r="F435" s="596">
        <v>76</v>
      </c>
      <c r="G435" s="596">
        <v>3</v>
      </c>
      <c r="H435" s="596">
        <v>0</v>
      </c>
      <c r="I435" s="596">
        <v>1</v>
      </c>
      <c r="J435" s="596">
        <v>2</v>
      </c>
      <c r="K435" s="596">
        <v>1</v>
      </c>
      <c r="L435" s="596">
        <v>1</v>
      </c>
      <c r="M435" s="596" t="s">
        <v>24</v>
      </c>
      <c r="N435" s="586" t="s">
        <v>136</v>
      </c>
      <c r="O435" s="596">
        <v>1</v>
      </c>
      <c r="P435" s="596">
        <v>5</v>
      </c>
      <c r="Q435" s="596">
        <v>11</v>
      </c>
      <c r="R435" s="596">
        <v>14</v>
      </c>
      <c r="S435" s="596">
        <v>31</v>
      </c>
      <c r="T435" s="596">
        <v>75</v>
      </c>
      <c r="U435" s="596">
        <v>172</v>
      </c>
      <c r="V435" s="596">
        <v>225</v>
      </c>
      <c r="W435" s="596">
        <v>120</v>
      </c>
      <c r="X435" s="596">
        <v>108</v>
      </c>
      <c r="Y435" s="596">
        <v>16</v>
      </c>
      <c r="Z435" s="596">
        <v>0</v>
      </c>
      <c r="AA435" s="596">
        <v>1</v>
      </c>
      <c r="AB435" s="596">
        <v>0</v>
      </c>
      <c r="AC435" s="609">
        <v>42.526506024096392</v>
      </c>
      <c r="AD435" s="609">
        <v>49.982352941176472</v>
      </c>
      <c r="AE435" s="596">
        <v>17</v>
      </c>
      <c r="AF435" s="609">
        <v>2.9281483914636084</v>
      </c>
      <c r="AG435" s="596">
        <v>1</v>
      </c>
      <c r="AH435" s="609">
        <v>0.14880952380952381</v>
      </c>
      <c r="AI435" s="596">
        <v>1</v>
      </c>
      <c r="AJ435" s="610">
        <v>0.14880952380952381</v>
      </c>
    </row>
    <row r="436" spans="1:36" x14ac:dyDescent="0.2">
      <c r="A436" s="190"/>
      <c r="B436" s="660"/>
      <c r="C436" s="661"/>
      <c r="D436" s="661"/>
      <c r="E436" s="661"/>
      <c r="F436" s="661"/>
      <c r="G436" s="661"/>
      <c r="H436" s="661"/>
      <c r="I436" s="661"/>
      <c r="J436" s="661"/>
      <c r="K436" s="661"/>
      <c r="L436" s="661"/>
      <c r="M436" s="661"/>
      <c r="N436" s="662"/>
      <c r="O436" s="661"/>
      <c r="P436" s="661"/>
      <c r="Q436" s="661"/>
      <c r="R436" s="661"/>
      <c r="S436" s="661"/>
      <c r="T436" s="661"/>
      <c r="U436" s="661"/>
      <c r="V436" s="661"/>
      <c r="W436" s="661"/>
      <c r="X436" s="661"/>
      <c r="Y436" s="661"/>
      <c r="Z436" s="661"/>
      <c r="AA436" s="661"/>
      <c r="AB436" s="661"/>
      <c r="AC436" s="663"/>
      <c r="AD436" s="663"/>
      <c r="AE436" s="661"/>
      <c r="AF436" s="663"/>
      <c r="AG436" s="661"/>
      <c r="AH436" s="663"/>
      <c r="AI436" s="661"/>
      <c r="AJ436" s="663"/>
    </row>
    <row r="437" spans="1:36" x14ac:dyDescent="0.2">
      <c r="A437" s="190"/>
      <c r="B437" s="664"/>
      <c r="C437" s="169"/>
      <c r="D437" s="169"/>
      <c r="E437" s="169"/>
      <c r="F437" s="169"/>
      <c r="G437" s="169"/>
      <c r="H437" s="169"/>
      <c r="I437" s="169"/>
      <c r="J437" s="169"/>
      <c r="K437" s="169"/>
      <c r="L437" s="169"/>
      <c r="M437" s="169"/>
      <c r="N437" s="178"/>
      <c r="O437" s="169"/>
      <c r="P437" s="169"/>
      <c r="Q437" s="169"/>
      <c r="R437" s="169"/>
      <c r="S437" s="169"/>
      <c r="T437" s="169"/>
      <c r="U437" s="169"/>
      <c r="V437" s="169"/>
      <c r="W437" s="169"/>
      <c r="X437" s="169"/>
      <c r="Y437" s="169"/>
      <c r="Z437" s="169"/>
      <c r="AA437" s="169"/>
      <c r="AB437" s="169"/>
      <c r="AC437" s="177"/>
      <c r="AD437" s="177"/>
      <c r="AE437" s="169"/>
      <c r="AF437" s="177"/>
      <c r="AG437" s="169"/>
      <c r="AH437" s="177"/>
      <c r="AI437" s="169"/>
      <c r="AJ437" s="177"/>
    </row>
    <row r="438" spans="1:36" x14ac:dyDescent="0.2">
      <c r="A438" s="658">
        <f>A331+1</f>
        <v>43267</v>
      </c>
      <c r="B438" s="664"/>
      <c r="C438" s="169"/>
      <c r="D438" s="169"/>
      <c r="E438" s="169"/>
      <c r="F438" s="169"/>
      <c r="G438" s="169"/>
      <c r="H438" s="169"/>
      <c r="I438" s="169"/>
      <c r="J438" s="169"/>
      <c r="K438" s="169"/>
      <c r="L438" s="169"/>
      <c r="M438" s="169"/>
      <c r="N438" s="178"/>
      <c r="O438" s="169"/>
      <c r="P438" s="169"/>
      <c r="Q438" s="169"/>
      <c r="R438" s="169"/>
      <c r="S438" s="169"/>
      <c r="T438" s="169"/>
      <c r="U438" s="169"/>
      <c r="V438" s="169"/>
      <c r="W438" s="169"/>
      <c r="X438" s="169"/>
      <c r="Y438" s="169"/>
      <c r="Z438" s="169"/>
      <c r="AA438" s="169"/>
      <c r="AB438" s="169"/>
      <c r="AC438" s="177"/>
      <c r="AD438" s="177"/>
      <c r="AE438" s="169"/>
      <c r="AF438" s="177"/>
      <c r="AG438" s="169"/>
      <c r="AH438" s="177"/>
      <c r="AI438" s="169"/>
      <c r="AJ438" s="177"/>
    </row>
    <row r="439" spans="1:36" x14ac:dyDescent="0.2">
      <c r="A439" s="190"/>
      <c r="B439" s="665"/>
      <c r="C439" s="666"/>
      <c r="D439" s="666"/>
      <c r="E439" s="666"/>
      <c r="F439" s="666"/>
      <c r="G439" s="666"/>
      <c r="H439" s="666"/>
      <c r="I439" s="666"/>
      <c r="J439" s="666"/>
      <c r="K439" s="666"/>
      <c r="L439" s="666"/>
      <c r="M439" s="666"/>
      <c r="N439" s="667"/>
      <c r="O439" s="666"/>
      <c r="P439" s="666"/>
      <c r="Q439" s="666"/>
      <c r="R439" s="666"/>
      <c r="S439" s="666"/>
      <c r="T439" s="666"/>
      <c r="U439" s="666"/>
      <c r="V439" s="666"/>
      <c r="W439" s="666"/>
      <c r="X439" s="666"/>
      <c r="Y439" s="666"/>
      <c r="Z439" s="666"/>
      <c r="AA439" s="666"/>
      <c r="AB439" s="666"/>
      <c r="AC439" s="668"/>
      <c r="AD439" s="668"/>
      <c r="AE439" s="666"/>
      <c r="AF439" s="668"/>
      <c r="AG439" s="666"/>
      <c r="AH439" s="668"/>
      <c r="AI439" s="666"/>
      <c r="AJ439" s="668"/>
    </row>
    <row r="440" spans="1:36" x14ac:dyDescent="0.2">
      <c r="A440" s="565" t="s">
        <v>254</v>
      </c>
      <c r="B440" s="568" t="s">
        <v>0</v>
      </c>
      <c r="C440" s="569" t="s">
        <v>442</v>
      </c>
      <c r="D440" s="569" t="s">
        <v>215</v>
      </c>
      <c r="E440" s="569" t="s">
        <v>443</v>
      </c>
      <c r="F440" s="569" t="s">
        <v>444</v>
      </c>
      <c r="G440" s="569" t="s">
        <v>445</v>
      </c>
      <c r="H440" s="569" t="s">
        <v>446</v>
      </c>
      <c r="I440" s="569" t="s">
        <v>447</v>
      </c>
      <c r="J440" s="569" t="s">
        <v>448</v>
      </c>
      <c r="K440" s="569" t="s">
        <v>449</v>
      </c>
      <c r="L440" s="569" t="s">
        <v>450</v>
      </c>
      <c r="M440" s="569"/>
      <c r="N440" s="584" t="s">
        <v>11</v>
      </c>
      <c r="O440" s="569" t="s">
        <v>268</v>
      </c>
      <c r="P440" s="569" t="s">
        <v>269</v>
      </c>
      <c r="Q440" s="569" t="s">
        <v>270</v>
      </c>
      <c r="R440" s="569" t="s">
        <v>271</v>
      </c>
      <c r="S440" s="569" t="s">
        <v>272</v>
      </c>
      <c r="T440" s="569" t="s">
        <v>273</v>
      </c>
      <c r="U440" s="569" t="s">
        <v>274</v>
      </c>
      <c r="V440" s="569" t="s">
        <v>275</v>
      </c>
      <c r="W440" s="569" t="s">
        <v>276</v>
      </c>
      <c r="X440" s="569" t="s">
        <v>277</v>
      </c>
      <c r="Y440" s="569" t="s">
        <v>278</v>
      </c>
      <c r="Z440" s="569" t="s">
        <v>279</v>
      </c>
      <c r="AA440" s="569" t="s">
        <v>280</v>
      </c>
      <c r="AB440" s="569" t="s">
        <v>281</v>
      </c>
      <c r="AC440" s="620" t="s">
        <v>258</v>
      </c>
      <c r="AD440" s="620" t="s">
        <v>13</v>
      </c>
      <c r="AE440" s="569" t="s">
        <v>166</v>
      </c>
      <c r="AF440" s="620" t="s">
        <v>259</v>
      </c>
      <c r="AG440" s="621" t="s">
        <v>260</v>
      </c>
      <c r="AH440" s="622" t="s">
        <v>261</v>
      </c>
      <c r="AI440" s="621" t="s">
        <v>262</v>
      </c>
      <c r="AJ440" s="623" t="s">
        <v>263</v>
      </c>
    </row>
    <row r="441" spans="1:36" x14ac:dyDescent="0.2">
      <c r="A441" s="190" t="s">
        <v>24</v>
      </c>
      <c r="B441" s="571" t="s">
        <v>24</v>
      </c>
      <c r="C441" s="179" t="s">
        <v>25</v>
      </c>
      <c r="D441" s="179" t="s">
        <v>26</v>
      </c>
      <c r="E441" s="179" t="s">
        <v>27</v>
      </c>
      <c r="F441" s="179" t="s">
        <v>28</v>
      </c>
      <c r="G441" s="179" t="s">
        <v>29</v>
      </c>
      <c r="H441" s="179" t="s">
        <v>30</v>
      </c>
      <c r="I441" s="179" t="s">
        <v>31</v>
      </c>
      <c r="J441" s="179" t="s">
        <v>32</v>
      </c>
      <c r="K441" s="179" t="s">
        <v>33</v>
      </c>
      <c r="L441" s="179" t="s">
        <v>34</v>
      </c>
      <c r="M441" s="179" t="s">
        <v>24</v>
      </c>
      <c r="N441" s="585" t="s">
        <v>24</v>
      </c>
      <c r="O441" s="179" t="s">
        <v>451</v>
      </c>
      <c r="P441" s="179" t="s">
        <v>34</v>
      </c>
      <c r="Q441" s="179" t="s">
        <v>452</v>
      </c>
      <c r="R441" s="179" t="s">
        <v>453</v>
      </c>
      <c r="S441" s="179" t="s">
        <v>454</v>
      </c>
      <c r="T441" s="179" t="s">
        <v>455</v>
      </c>
      <c r="U441" s="179" t="s">
        <v>456</v>
      </c>
      <c r="V441" s="179" t="s">
        <v>457</v>
      </c>
      <c r="W441" s="179" t="s">
        <v>458</v>
      </c>
      <c r="X441" s="179" t="s">
        <v>459</v>
      </c>
      <c r="Y441" s="179" t="s">
        <v>460</v>
      </c>
      <c r="Z441" s="179" t="s">
        <v>461</v>
      </c>
      <c r="AA441" s="179" t="s">
        <v>462</v>
      </c>
      <c r="AB441" s="179" t="s">
        <v>463</v>
      </c>
      <c r="AC441" s="180"/>
      <c r="AD441" s="180">
        <v>0</v>
      </c>
      <c r="AE441" s="179">
        <v>60</v>
      </c>
      <c r="AF441" s="179">
        <v>60</v>
      </c>
      <c r="AG441" s="225">
        <v>65</v>
      </c>
      <c r="AH441" s="225">
        <v>65</v>
      </c>
      <c r="AI441" s="225">
        <v>75</v>
      </c>
      <c r="AJ441" s="624">
        <v>75</v>
      </c>
    </row>
    <row r="442" spans="1:36" ht="13.5" thickBot="1" x14ac:dyDescent="0.25">
      <c r="A442" s="190" t="s">
        <v>24</v>
      </c>
      <c r="B442" s="571" t="s">
        <v>24</v>
      </c>
      <c r="C442" s="574" t="s">
        <v>24</v>
      </c>
      <c r="D442" s="574" t="s">
        <v>24</v>
      </c>
      <c r="E442" s="574" t="s">
        <v>24</v>
      </c>
      <c r="F442" s="574" t="s">
        <v>24</v>
      </c>
      <c r="G442" s="574" t="s">
        <v>24</v>
      </c>
      <c r="H442" s="574" t="s">
        <v>24</v>
      </c>
      <c r="I442" s="574" t="s">
        <v>24</v>
      </c>
      <c r="J442" s="574" t="s">
        <v>24</v>
      </c>
      <c r="K442" s="574" t="s">
        <v>24</v>
      </c>
      <c r="L442" s="574" t="s">
        <v>24</v>
      </c>
      <c r="M442" s="574" t="s">
        <v>24</v>
      </c>
      <c r="N442" s="586" t="s">
        <v>24</v>
      </c>
      <c r="O442" s="574" t="s">
        <v>34</v>
      </c>
      <c r="P442" s="574" t="s">
        <v>452</v>
      </c>
      <c r="Q442" s="574" t="s">
        <v>453</v>
      </c>
      <c r="R442" s="574" t="s">
        <v>454</v>
      </c>
      <c r="S442" s="574" t="s">
        <v>455</v>
      </c>
      <c r="T442" s="574" t="s">
        <v>456</v>
      </c>
      <c r="U442" s="574" t="s">
        <v>457</v>
      </c>
      <c r="V442" s="574" t="s">
        <v>458</v>
      </c>
      <c r="W442" s="574" t="s">
        <v>459</v>
      </c>
      <c r="X442" s="574" t="s">
        <v>460</v>
      </c>
      <c r="Y442" s="574" t="s">
        <v>461</v>
      </c>
      <c r="Z442" s="574" t="s">
        <v>462</v>
      </c>
      <c r="AA442" s="574" t="s">
        <v>463</v>
      </c>
      <c r="AB442" s="574" t="s">
        <v>464</v>
      </c>
      <c r="AC442" s="625"/>
      <c r="AD442" s="625"/>
      <c r="AE442" s="574"/>
      <c r="AF442" s="625"/>
      <c r="AG442" s="626" t="s">
        <v>35</v>
      </c>
      <c r="AH442" s="627" t="s">
        <v>35</v>
      </c>
      <c r="AI442" s="626" t="s">
        <v>36</v>
      </c>
      <c r="AJ442" s="628" t="s">
        <v>36</v>
      </c>
    </row>
    <row r="443" spans="1:36" ht="13.5" thickBot="1" x14ac:dyDescent="0.25">
      <c r="A443" s="190" t="s">
        <v>37</v>
      </c>
      <c r="B443" s="691">
        <v>1</v>
      </c>
      <c r="C443" s="567">
        <v>0</v>
      </c>
      <c r="D443" s="186">
        <v>1</v>
      </c>
      <c r="E443" s="186">
        <v>0</v>
      </c>
      <c r="F443" s="186">
        <v>0</v>
      </c>
      <c r="G443" s="186">
        <v>0</v>
      </c>
      <c r="H443" s="186">
        <v>0</v>
      </c>
      <c r="I443" s="186">
        <v>0</v>
      </c>
      <c r="J443" s="186">
        <v>0</v>
      </c>
      <c r="K443" s="186">
        <v>0</v>
      </c>
      <c r="L443" s="186">
        <v>0</v>
      </c>
      <c r="M443" s="656" t="s">
        <v>24</v>
      </c>
      <c r="N443" s="669" t="s">
        <v>37</v>
      </c>
      <c r="O443" s="646">
        <v>0</v>
      </c>
      <c r="P443" s="186">
        <v>0</v>
      </c>
      <c r="Q443" s="186">
        <v>0</v>
      </c>
      <c r="R443" s="186">
        <v>0</v>
      </c>
      <c r="S443" s="186">
        <v>0</v>
      </c>
      <c r="T443" s="186">
        <v>0</v>
      </c>
      <c r="U443" s="186">
        <v>1</v>
      </c>
      <c r="V443" s="186">
        <v>0</v>
      </c>
      <c r="W443" s="186">
        <v>0</v>
      </c>
      <c r="X443" s="186">
        <v>0</v>
      </c>
      <c r="Y443" s="186">
        <v>0</v>
      </c>
      <c r="Z443" s="186">
        <v>0</v>
      </c>
      <c r="AA443" s="186">
        <v>0</v>
      </c>
      <c r="AB443" s="186">
        <v>0</v>
      </c>
      <c r="AC443" s="187">
        <v>40</v>
      </c>
      <c r="AD443" s="187" t="s">
        <v>24</v>
      </c>
      <c r="AE443" s="186">
        <v>0</v>
      </c>
      <c r="AF443" s="187">
        <v>0</v>
      </c>
      <c r="AG443" s="186">
        <v>0</v>
      </c>
      <c r="AH443" s="187">
        <v>0</v>
      </c>
      <c r="AI443" s="186">
        <v>0</v>
      </c>
      <c r="AJ443" s="647">
        <v>0</v>
      </c>
    </row>
    <row r="444" spans="1:36" x14ac:dyDescent="0.2">
      <c r="A444" s="190" t="s">
        <v>38</v>
      </c>
      <c r="B444" s="646">
        <v>3</v>
      </c>
      <c r="C444" s="184">
        <v>0</v>
      </c>
      <c r="D444" s="184">
        <v>3</v>
      </c>
      <c r="E444" s="184">
        <v>0</v>
      </c>
      <c r="F444" s="184">
        <v>0</v>
      </c>
      <c r="G444" s="184">
        <v>0</v>
      </c>
      <c r="H444" s="184">
        <v>0</v>
      </c>
      <c r="I444" s="184">
        <v>0</v>
      </c>
      <c r="J444" s="184">
        <v>0</v>
      </c>
      <c r="K444" s="184">
        <v>0</v>
      </c>
      <c r="L444" s="184">
        <v>0</v>
      </c>
      <c r="M444" s="654" t="s">
        <v>24</v>
      </c>
      <c r="N444" s="669" t="s">
        <v>38</v>
      </c>
      <c r="O444" s="642">
        <v>0</v>
      </c>
      <c r="P444" s="184">
        <v>0</v>
      </c>
      <c r="Q444" s="184">
        <v>0</v>
      </c>
      <c r="R444" s="184">
        <v>0</v>
      </c>
      <c r="S444" s="184">
        <v>0</v>
      </c>
      <c r="T444" s="184">
        <v>1</v>
      </c>
      <c r="U444" s="184">
        <v>1</v>
      </c>
      <c r="V444" s="184">
        <v>0</v>
      </c>
      <c r="W444" s="184">
        <v>1</v>
      </c>
      <c r="X444" s="184">
        <v>0</v>
      </c>
      <c r="Y444" s="184">
        <v>0</v>
      </c>
      <c r="Z444" s="184">
        <v>0</v>
      </c>
      <c r="AA444" s="184">
        <v>0</v>
      </c>
      <c r="AB444" s="184">
        <v>0</v>
      </c>
      <c r="AC444" s="185">
        <v>39.5</v>
      </c>
      <c r="AD444" s="185" t="s">
        <v>24</v>
      </c>
      <c r="AE444" s="184">
        <v>0</v>
      </c>
      <c r="AF444" s="185">
        <v>0</v>
      </c>
      <c r="AG444" s="184">
        <v>0</v>
      </c>
      <c r="AH444" s="185">
        <v>0</v>
      </c>
      <c r="AI444" s="184">
        <v>0</v>
      </c>
      <c r="AJ444" s="643">
        <v>0</v>
      </c>
    </row>
    <row r="445" spans="1:36" x14ac:dyDescent="0.2">
      <c r="A445" s="190" t="s">
        <v>40</v>
      </c>
      <c r="B445" s="642">
        <v>0</v>
      </c>
      <c r="C445" s="184">
        <v>0</v>
      </c>
      <c r="D445" s="184">
        <v>0</v>
      </c>
      <c r="E445" s="184">
        <v>0</v>
      </c>
      <c r="F445" s="184">
        <v>0</v>
      </c>
      <c r="G445" s="184">
        <v>0</v>
      </c>
      <c r="H445" s="184">
        <v>0</v>
      </c>
      <c r="I445" s="184">
        <v>0</v>
      </c>
      <c r="J445" s="184">
        <v>0</v>
      </c>
      <c r="K445" s="184">
        <v>0</v>
      </c>
      <c r="L445" s="184">
        <v>0</v>
      </c>
      <c r="M445" s="654" t="s">
        <v>24</v>
      </c>
      <c r="N445" s="669" t="s">
        <v>40</v>
      </c>
      <c r="O445" s="642">
        <v>0</v>
      </c>
      <c r="P445" s="184">
        <v>0</v>
      </c>
      <c r="Q445" s="184">
        <v>0</v>
      </c>
      <c r="R445" s="184">
        <v>0</v>
      </c>
      <c r="S445" s="184">
        <v>0</v>
      </c>
      <c r="T445" s="184">
        <v>0</v>
      </c>
      <c r="U445" s="184">
        <v>0</v>
      </c>
      <c r="V445" s="184">
        <v>0</v>
      </c>
      <c r="W445" s="184">
        <v>0</v>
      </c>
      <c r="X445" s="184">
        <v>0</v>
      </c>
      <c r="Y445" s="184">
        <v>0</v>
      </c>
      <c r="Z445" s="184">
        <v>0</v>
      </c>
      <c r="AA445" s="184">
        <v>0</v>
      </c>
      <c r="AB445" s="184">
        <v>0</v>
      </c>
      <c r="AC445" s="185" t="s">
        <v>24</v>
      </c>
      <c r="AD445" s="185" t="s">
        <v>24</v>
      </c>
      <c r="AE445" s="184">
        <v>0</v>
      </c>
      <c r="AF445" s="185">
        <v>0</v>
      </c>
      <c r="AG445" s="184">
        <v>0</v>
      </c>
      <c r="AH445" s="185">
        <v>0</v>
      </c>
      <c r="AI445" s="184">
        <v>0</v>
      </c>
      <c r="AJ445" s="643">
        <v>0</v>
      </c>
    </row>
    <row r="446" spans="1:36" x14ac:dyDescent="0.2">
      <c r="A446" s="190" t="s">
        <v>42</v>
      </c>
      <c r="B446" s="642">
        <v>0</v>
      </c>
      <c r="C446" s="184">
        <v>0</v>
      </c>
      <c r="D446" s="184">
        <v>0</v>
      </c>
      <c r="E446" s="184">
        <v>0</v>
      </c>
      <c r="F446" s="184">
        <v>0</v>
      </c>
      <c r="G446" s="184">
        <v>0</v>
      </c>
      <c r="H446" s="184">
        <v>0</v>
      </c>
      <c r="I446" s="184">
        <v>0</v>
      </c>
      <c r="J446" s="184">
        <v>0</v>
      </c>
      <c r="K446" s="184">
        <v>0</v>
      </c>
      <c r="L446" s="184">
        <v>0</v>
      </c>
      <c r="M446" s="654" t="s">
        <v>24</v>
      </c>
      <c r="N446" s="669" t="s">
        <v>42</v>
      </c>
      <c r="O446" s="642">
        <v>0</v>
      </c>
      <c r="P446" s="184">
        <v>0</v>
      </c>
      <c r="Q446" s="184">
        <v>0</v>
      </c>
      <c r="R446" s="184">
        <v>0</v>
      </c>
      <c r="S446" s="184">
        <v>0</v>
      </c>
      <c r="T446" s="184">
        <v>0</v>
      </c>
      <c r="U446" s="184">
        <v>0</v>
      </c>
      <c r="V446" s="184">
        <v>0</v>
      </c>
      <c r="W446" s="184">
        <v>0</v>
      </c>
      <c r="X446" s="184">
        <v>0</v>
      </c>
      <c r="Y446" s="184">
        <v>0</v>
      </c>
      <c r="Z446" s="184">
        <v>0</v>
      </c>
      <c r="AA446" s="184">
        <v>0</v>
      </c>
      <c r="AB446" s="184">
        <v>0</v>
      </c>
      <c r="AC446" s="185" t="s">
        <v>24</v>
      </c>
      <c r="AD446" s="185" t="s">
        <v>24</v>
      </c>
      <c r="AE446" s="184">
        <v>0</v>
      </c>
      <c r="AF446" s="185">
        <v>0</v>
      </c>
      <c r="AG446" s="184">
        <v>0</v>
      </c>
      <c r="AH446" s="185">
        <v>0</v>
      </c>
      <c r="AI446" s="184">
        <v>0</v>
      </c>
      <c r="AJ446" s="643">
        <v>0</v>
      </c>
    </row>
    <row r="447" spans="1:36" x14ac:dyDescent="0.2">
      <c r="A447" s="190" t="s">
        <v>39</v>
      </c>
      <c r="B447" s="642">
        <v>1</v>
      </c>
      <c r="C447" s="184">
        <v>0</v>
      </c>
      <c r="D447" s="184">
        <v>1</v>
      </c>
      <c r="E447" s="184">
        <v>0</v>
      </c>
      <c r="F447" s="184">
        <v>0</v>
      </c>
      <c r="G447" s="184">
        <v>0</v>
      </c>
      <c r="H447" s="184">
        <v>0</v>
      </c>
      <c r="I447" s="184">
        <v>0</v>
      </c>
      <c r="J447" s="184">
        <v>0</v>
      </c>
      <c r="K447" s="184">
        <v>0</v>
      </c>
      <c r="L447" s="184">
        <v>0</v>
      </c>
      <c r="M447" s="654" t="s">
        <v>24</v>
      </c>
      <c r="N447" s="669" t="s">
        <v>39</v>
      </c>
      <c r="O447" s="642">
        <v>0</v>
      </c>
      <c r="P447" s="184">
        <v>0</v>
      </c>
      <c r="Q447" s="184">
        <v>0</v>
      </c>
      <c r="R447" s="184">
        <v>0</v>
      </c>
      <c r="S447" s="184">
        <v>0</v>
      </c>
      <c r="T447" s="184">
        <v>0</v>
      </c>
      <c r="U447" s="184">
        <v>0</v>
      </c>
      <c r="V447" s="184">
        <v>1</v>
      </c>
      <c r="W447" s="184">
        <v>0</v>
      </c>
      <c r="X447" s="184">
        <v>0</v>
      </c>
      <c r="Y447" s="184">
        <v>0</v>
      </c>
      <c r="Z447" s="184">
        <v>0</v>
      </c>
      <c r="AA447" s="184">
        <v>0</v>
      </c>
      <c r="AB447" s="184">
        <v>0</v>
      </c>
      <c r="AC447" s="185">
        <v>42.2</v>
      </c>
      <c r="AD447" s="185" t="s">
        <v>24</v>
      </c>
      <c r="AE447" s="184">
        <v>0</v>
      </c>
      <c r="AF447" s="185">
        <v>0</v>
      </c>
      <c r="AG447" s="184">
        <v>0</v>
      </c>
      <c r="AH447" s="185">
        <v>0</v>
      </c>
      <c r="AI447" s="184">
        <v>0</v>
      </c>
      <c r="AJ447" s="643">
        <v>0</v>
      </c>
    </row>
    <row r="448" spans="1:36" x14ac:dyDescent="0.2">
      <c r="A448" s="190" t="s">
        <v>45</v>
      </c>
      <c r="B448" s="642">
        <v>1</v>
      </c>
      <c r="C448" s="184">
        <v>0</v>
      </c>
      <c r="D448" s="184">
        <v>1</v>
      </c>
      <c r="E448" s="184">
        <v>0</v>
      </c>
      <c r="F448" s="184">
        <v>0</v>
      </c>
      <c r="G448" s="184">
        <v>0</v>
      </c>
      <c r="H448" s="184">
        <v>0</v>
      </c>
      <c r="I448" s="184">
        <v>0</v>
      </c>
      <c r="J448" s="184">
        <v>0</v>
      </c>
      <c r="K448" s="184">
        <v>0</v>
      </c>
      <c r="L448" s="184">
        <v>0</v>
      </c>
      <c r="M448" s="654" t="s">
        <v>24</v>
      </c>
      <c r="N448" s="669" t="s">
        <v>45</v>
      </c>
      <c r="O448" s="642">
        <v>0</v>
      </c>
      <c r="P448" s="184">
        <v>0</v>
      </c>
      <c r="Q448" s="184">
        <v>0</v>
      </c>
      <c r="R448" s="184">
        <v>0</v>
      </c>
      <c r="S448" s="184">
        <v>0</v>
      </c>
      <c r="T448" s="184">
        <v>0</v>
      </c>
      <c r="U448" s="184">
        <v>0</v>
      </c>
      <c r="V448" s="184">
        <v>1</v>
      </c>
      <c r="W448" s="184">
        <v>0</v>
      </c>
      <c r="X448" s="184">
        <v>0</v>
      </c>
      <c r="Y448" s="184">
        <v>0</v>
      </c>
      <c r="Z448" s="184">
        <v>0</v>
      </c>
      <c r="AA448" s="184">
        <v>0</v>
      </c>
      <c r="AB448" s="184">
        <v>0</v>
      </c>
      <c r="AC448" s="185">
        <v>42.1</v>
      </c>
      <c r="AD448" s="185" t="s">
        <v>24</v>
      </c>
      <c r="AE448" s="184">
        <v>0</v>
      </c>
      <c r="AF448" s="185">
        <v>0</v>
      </c>
      <c r="AG448" s="184">
        <v>0</v>
      </c>
      <c r="AH448" s="185">
        <v>0</v>
      </c>
      <c r="AI448" s="184">
        <v>0</v>
      </c>
      <c r="AJ448" s="643">
        <v>0</v>
      </c>
    </row>
    <row r="449" spans="1:36" x14ac:dyDescent="0.2">
      <c r="A449" s="190" t="s">
        <v>47</v>
      </c>
      <c r="B449" s="642">
        <v>2</v>
      </c>
      <c r="C449" s="184">
        <v>0</v>
      </c>
      <c r="D449" s="184">
        <v>2</v>
      </c>
      <c r="E449" s="184">
        <v>0</v>
      </c>
      <c r="F449" s="184">
        <v>0</v>
      </c>
      <c r="G449" s="184">
        <v>0</v>
      </c>
      <c r="H449" s="184">
        <v>0</v>
      </c>
      <c r="I449" s="184">
        <v>0</v>
      </c>
      <c r="J449" s="184">
        <v>0</v>
      </c>
      <c r="K449" s="184">
        <v>0</v>
      </c>
      <c r="L449" s="184">
        <v>0</v>
      </c>
      <c r="M449" s="654" t="s">
        <v>24</v>
      </c>
      <c r="N449" s="669" t="s">
        <v>47</v>
      </c>
      <c r="O449" s="642">
        <v>0</v>
      </c>
      <c r="P449" s="184">
        <v>0</v>
      </c>
      <c r="Q449" s="184">
        <v>0</v>
      </c>
      <c r="R449" s="184">
        <v>0</v>
      </c>
      <c r="S449" s="184">
        <v>0</v>
      </c>
      <c r="T449" s="184">
        <v>0</v>
      </c>
      <c r="U449" s="184">
        <v>1</v>
      </c>
      <c r="V449" s="184">
        <v>1</v>
      </c>
      <c r="W449" s="184">
        <v>0</v>
      </c>
      <c r="X449" s="184">
        <v>0</v>
      </c>
      <c r="Y449" s="184">
        <v>0</v>
      </c>
      <c r="Z449" s="184">
        <v>0</v>
      </c>
      <c r="AA449" s="184">
        <v>0</v>
      </c>
      <c r="AB449" s="184">
        <v>0</v>
      </c>
      <c r="AC449" s="185">
        <v>39.5</v>
      </c>
      <c r="AD449" s="185" t="s">
        <v>24</v>
      </c>
      <c r="AE449" s="184">
        <v>0</v>
      </c>
      <c r="AF449" s="185">
        <v>0</v>
      </c>
      <c r="AG449" s="184">
        <v>0</v>
      </c>
      <c r="AH449" s="185">
        <v>0</v>
      </c>
      <c r="AI449" s="184">
        <v>0</v>
      </c>
      <c r="AJ449" s="643">
        <v>0</v>
      </c>
    </row>
    <row r="450" spans="1:36" x14ac:dyDescent="0.2">
      <c r="A450" s="190" t="s">
        <v>49</v>
      </c>
      <c r="B450" s="642">
        <v>1</v>
      </c>
      <c r="C450" s="184">
        <v>0</v>
      </c>
      <c r="D450" s="184">
        <v>1</v>
      </c>
      <c r="E450" s="184">
        <v>0</v>
      </c>
      <c r="F450" s="184">
        <v>0</v>
      </c>
      <c r="G450" s="184">
        <v>0</v>
      </c>
      <c r="H450" s="184">
        <v>0</v>
      </c>
      <c r="I450" s="184">
        <v>0</v>
      </c>
      <c r="J450" s="184">
        <v>0</v>
      </c>
      <c r="K450" s="184">
        <v>0</v>
      </c>
      <c r="L450" s="184">
        <v>0</v>
      </c>
      <c r="M450" s="654" t="s">
        <v>24</v>
      </c>
      <c r="N450" s="669" t="s">
        <v>49</v>
      </c>
      <c r="O450" s="642">
        <v>0</v>
      </c>
      <c r="P450" s="184">
        <v>0</v>
      </c>
      <c r="Q450" s="184">
        <v>0</v>
      </c>
      <c r="R450" s="184">
        <v>0</v>
      </c>
      <c r="S450" s="184">
        <v>0</v>
      </c>
      <c r="T450" s="184">
        <v>0</v>
      </c>
      <c r="U450" s="184">
        <v>0</v>
      </c>
      <c r="V450" s="184">
        <v>1</v>
      </c>
      <c r="W450" s="184">
        <v>0</v>
      </c>
      <c r="X450" s="184">
        <v>0</v>
      </c>
      <c r="Y450" s="184">
        <v>0</v>
      </c>
      <c r="Z450" s="184">
        <v>0</v>
      </c>
      <c r="AA450" s="184">
        <v>0</v>
      </c>
      <c r="AB450" s="184">
        <v>0</v>
      </c>
      <c r="AC450" s="185">
        <v>41.7</v>
      </c>
      <c r="AD450" s="185" t="s">
        <v>24</v>
      </c>
      <c r="AE450" s="184">
        <v>0</v>
      </c>
      <c r="AF450" s="185">
        <v>0</v>
      </c>
      <c r="AG450" s="184">
        <v>0</v>
      </c>
      <c r="AH450" s="185">
        <v>0</v>
      </c>
      <c r="AI450" s="184">
        <v>0</v>
      </c>
      <c r="AJ450" s="643">
        <v>0</v>
      </c>
    </row>
    <row r="451" spans="1:36" x14ac:dyDescent="0.2">
      <c r="A451" s="190" t="s">
        <v>41</v>
      </c>
      <c r="B451" s="642">
        <v>0</v>
      </c>
      <c r="C451" s="184">
        <v>0</v>
      </c>
      <c r="D451" s="184">
        <v>0</v>
      </c>
      <c r="E451" s="184">
        <v>0</v>
      </c>
      <c r="F451" s="184">
        <v>0</v>
      </c>
      <c r="G451" s="184">
        <v>0</v>
      </c>
      <c r="H451" s="184">
        <v>0</v>
      </c>
      <c r="I451" s="184">
        <v>0</v>
      </c>
      <c r="J451" s="184">
        <v>0</v>
      </c>
      <c r="K451" s="184">
        <v>0</v>
      </c>
      <c r="L451" s="184">
        <v>0</v>
      </c>
      <c r="M451" s="654" t="s">
        <v>24</v>
      </c>
      <c r="N451" s="669" t="s">
        <v>41</v>
      </c>
      <c r="O451" s="642">
        <v>0</v>
      </c>
      <c r="P451" s="184">
        <v>0</v>
      </c>
      <c r="Q451" s="184">
        <v>0</v>
      </c>
      <c r="R451" s="184">
        <v>0</v>
      </c>
      <c r="S451" s="184">
        <v>0</v>
      </c>
      <c r="T451" s="184">
        <v>0</v>
      </c>
      <c r="U451" s="184">
        <v>0</v>
      </c>
      <c r="V451" s="184">
        <v>0</v>
      </c>
      <c r="W451" s="184">
        <v>0</v>
      </c>
      <c r="X451" s="184">
        <v>0</v>
      </c>
      <c r="Y451" s="184">
        <v>0</v>
      </c>
      <c r="Z451" s="184">
        <v>0</v>
      </c>
      <c r="AA451" s="184">
        <v>0</v>
      </c>
      <c r="AB451" s="184">
        <v>0</v>
      </c>
      <c r="AC451" s="185" t="s">
        <v>24</v>
      </c>
      <c r="AD451" s="185" t="s">
        <v>24</v>
      </c>
      <c r="AE451" s="184">
        <v>0</v>
      </c>
      <c r="AF451" s="185">
        <v>0</v>
      </c>
      <c r="AG451" s="184">
        <v>0</v>
      </c>
      <c r="AH451" s="185">
        <v>0</v>
      </c>
      <c r="AI451" s="184">
        <v>0</v>
      </c>
      <c r="AJ451" s="643">
        <v>0</v>
      </c>
    </row>
    <row r="452" spans="1:36" x14ac:dyDescent="0.2">
      <c r="A452" s="190" t="s">
        <v>52</v>
      </c>
      <c r="B452" s="642">
        <v>0</v>
      </c>
      <c r="C452" s="184">
        <v>0</v>
      </c>
      <c r="D452" s="184">
        <v>0</v>
      </c>
      <c r="E452" s="184">
        <v>0</v>
      </c>
      <c r="F452" s="184">
        <v>0</v>
      </c>
      <c r="G452" s="184">
        <v>0</v>
      </c>
      <c r="H452" s="184">
        <v>0</v>
      </c>
      <c r="I452" s="184">
        <v>0</v>
      </c>
      <c r="J452" s="184">
        <v>0</v>
      </c>
      <c r="K452" s="184">
        <v>0</v>
      </c>
      <c r="L452" s="184">
        <v>0</v>
      </c>
      <c r="M452" s="654" t="s">
        <v>24</v>
      </c>
      <c r="N452" s="669" t="s">
        <v>52</v>
      </c>
      <c r="O452" s="642">
        <v>0</v>
      </c>
      <c r="P452" s="184">
        <v>0</v>
      </c>
      <c r="Q452" s="184">
        <v>0</v>
      </c>
      <c r="R452" s="184">
        <v>0</v>
      </c>
      <c r="S452" s="184">
        <v>0</v>
      </c>
      <c r="T452" s="184">
        <v>0</v>
      </c>
      <c r="U452" s="184">
        <v>0</v>
      </c>
      <c r="V452" s="184">
        <v>0</v>
      </c>
      <c r="W452" s="184">
        <v>0</v>
      </c>
      <c r="X452" s="184">
        <v>0</v>
      </c>
      <c r="Y452" s="184">
        <v>0</v>
      </c>
      <c r="Z452" s="184">
        <v>0</v>
      </c>
      <c r="AA452" s="184">
        <v>0</v>
      </c>
      <c r="AB452" s="184">
        <v>0</v>
      </c>
      <c r="AC452" s="185" t="s">
        <v>24</v>
      </c>
      <c r="AD452" s="185" t="s">
        <v>24</v>
      </c>
      <c r="AE452" s="184">
        <v>0</v>
      </c>
      <c r="AF452" s="185">
        <v>0</v>
      </c>
      <c r="AG452" s="184">
        <v>0</v>
      </c>
      <c r="AH452" s="185">
        <v>0</v>
      </c>
      <c r="AI452" s="184">
        <v>0</v>
      </c>
      <c r="AJ452" s="643">
        <v>0</v>
      </c>
    </row>
    <row r="453" spans="1:36" x14ac:dyDescent="0.2">
      <c r="A453" s="190" t="s">
        <v>54</v>
      </c>
      <c r="B453" s="642">
        <v>1</v>
      </c>
      <c r="C453" s="184">
        <v>0</v>
      </c>
      <c r="D453" s="184">
        <v>1</v>
      </c>
      <c r="E453" s="184">
        <v>0</v>
      </c>
      <c r="F453" s="184">
        <v>0</v>
      </c>
      <c r="G453" s="184">
        <v>0</v>
      </c>
      <c r="H453" s="184">
        <v>0</v>
      </c>
      <c r="I453" s="184">
        <v>0</v>
      </c>
      <c r="J453" s="184">
        <v>0</v>
      </c>
      <c r="K453" s="184">
        <v>0</v>
      </c>
      <c r="L453" s="184">
        <v>0</v>
      </c>
      <c r="M453" s="654" t="s">
        <v>24</v>
      </c>
      <c r="N453" s="669" t="s">
        <v>54</v>
      </c>
      <c r="O453" s="642">
        <v>0</v>
      </c>
      <c r="P453" s="184">
        <v>0</v>
      </c>
      <c r="Q453" s="184">
        <v>0</v>
      </c>
      <c r="R453" s="184">
        <v>0</v>
      </c>
      <c r="S453" s="184">
        <v>0</v>
      </c>
      <c r="T453" s="184">
        <v>0</v>
      </c>
      <c r="U453" s="184">
        <v>0</v>
      </c>
      <c r="V453" s="184">
        <v>1</v>
      </c>
      <c r="W453" s="184">
        <v>0</v>
      </c>
      <c r="X453" s="184">
        <v>0</v>
      </c>
      <c r="Y453" s="184">
        <v>0</v>
      </c>
      <c r="Z453" s="184">
        <v>0</v>
      </c>
      <c r="AA453" s="184">
        <v>0</v>
      </c>
      <c r="AB453" s="184">
        <v>0</v>
      </c>
      <c r="AC453" s="185">
        <v>40.6</v>
      </c>
      <c r="AD453" s="185" t="s">
        <v>24</v>
      </c>
      <c r="AE453" s="184">
        <v>0</v>
      </c>
      <c r="AF453" s="185">
        <v>0</v>
      </c>
      <c r="AG453" s="184">
        <v>0</v>
      </c>
      <c r="AH453" s="185">
        <v>0</v>
      </c>
      <c r="AI453" s="184">
        <v>0</v>
      </c>
      <c r="AJ453" s="643">
        <v>0</v>
      </c>
    </row>
    <row r="454" spans="1:36" x14ac:dyDescent="0.2">
      <c r="A454" s="190" t="s">
        <v>56</v>
      </c>
      <c r="B454" s="642">
        <v>0</v>
      </c>
      <c r="C454" s="184">
        <v>0</v>
      </c>
      <c r="D454" s="184">
        <v>0</v>
      </c>
      <c r="E454" s="184">
        <v>0</v>
      </c>
      <c r="F454" s="184">
        <v>0</v>
      </c>
      <c r="G454" s="184">
        <v>0</v>
      </c>
      <c r="H454" s="184">
        <v>0</v>
      </c>
      <c r="I454" s="184">
        <v>0</v>
      </c>
      <c r="J454" s="184">
        <v>0</v>
      </c>
      <c r="K454" s="184">
        <v>0</v>
      </c>
      <c r="L454" s="184">
        <v>0</v>
      </c>
      <c r="M454" s="654" t="s">
        <v>24</v>
      </c>
      <c r="N454" s="669" t="s">
        <v>56</v>
      </c>
      <c r="O454" s="642">
        <v>0</v>
      </c>
      <c r="P454" s="184">
        <v>0</v>
      </c>
      <c r="Q454" s="184">
        <v>0</v>
      </c>
      <c r="R454" s="184">
        <v>0</v>
      </c>
      <c r="S454" s="184">
        <v>0</v>
      </c>
      <c r="T454" s="184">
        <v>0</v>
      </c>
      <c r="U454" s="184">
        <v>0</v>
      </c>
      <c r="V454" s="184">
        <v>0</v>
      </c>
      <c r="W454" s="184">
        <v>0</v>
      </c>
      <c r="X454" s="184">
        <v>0</v>
      </c>
      <c r="Y454" s="184">
        <v>0</v>
      </c>
      <c r="Z454" s="184">
        <v>0</v>
      </c>
      <c r="AA454" s="184">
        <v>0</v>
      </c>
      <c r="AB454" s="184">
        <v>0</v>
      </c>
      <c r="AC454" s="185" t="s">
        <v>24</v>
      </c>
      <c r="AD454" s="185" t="s">
        <v>24</v>
      </c>
      <c r="AE454" s="184">
        <v>0</v>
      </c>
      <c r="AF454" s="185">
        <v>0</v>
      </c>
      <c r="AG454" s="184">
        <v>0</v>
      </c>
      <c r="AH454" s="185">
        <v>0</v>
      </c>
      <c r="AI454" s="184">
        <v>0</v>
      </c>
      <c r="AJ454" s="643">
        <v>0</v>
      </c>
    </row>
    <row r="455" spans="1:36" x14ac:dyDescent="0.2">
      <c r="A455" s="190" t="s">
        <v>43</v>
      </c>
      <c r="B455" s="642">
        <v>0</v>
      </c>
      <c r="C455" s="184">
        <v>0</v>
      </c>
      <c r="D455" s="184">
        <v>0</v>
      </c>
      <c r="E455" s="184">
        <v>0</v>
      </c>
      <c r="F455" s="184">
        <v>0</v>
      </c>
      <c r="G455" s="184">
        <v>0</v>
      </c>
      <c r="H455" s="184">
        <v>0</v>
      </c>
      <c r="I455" s="184">
        <v>0</v>
      </c>
      <c r="J455" s="184">
        <v>0</v>
      </c>
      <c r="K455" s="184">
        <v>0</v>
      </c>
      <c r="L455" s="184">
        <v>0</v>
      </c>
      <c r="M455" s="654" t="s">
        <v>24</v>
      </c>
      <c r="N455" s="669" t="s">
        <v>43</v>
      </c>
      <c r="O455" s="642">
        <v>0</v>
      </c>
      <c r="P455" s="184">
        <v>0</v>
      </c>
      <c r="Q455" s="184">
        <v>0</v>
      </c>
      <c r="R455" s="184">
        <v>0</v>
      </c>
      <c r="S455" s="184">
        <v>0</v>
      </c>
      <c r="T455" s="184">
        <v>0</v>
      </c>
      <c r="U455" s="184">
        <v>0</v>
      </c>
      <c r="V455" s="184">
        <v>0</v>
      </c>
      <c r="W455" s="184">
        <v>0</v>
      </c>
      <c r="X455" s="184">
        <v>0</v>
      </c>
      <c r="Y455" s="184">
        <v>0</v>
      </c>
      <c r="Z455" s="184">
        <v>0</v>
      </c>
      <c r="AA455" s="184">
        <v>0</v>
      </c>
      <c r="AB455" s="184">
        <v>0</v>
      </c>
      <c r="AC455" s="185" t="s">
        <v>24</v>
      </c>
      <c r="AD455" s="185" t="s">
        <v>24</v>
      </c>
      <c r="AE455" s="184">
        <v>0</v>
      </c>
      <c r="AF455" s="185">
        <v>0</v>
      </c>
      <c r="AG455" s="184">
        <v>0</v>
      </c>
      <c r="AH455" s="185">
        <v>0</v>
      </c>
      <c r="AI455" s="184">
        <v>0</v>
      </c>
      <c r="AJ455" s="643">
        <v>0</v>
      </c>
    </row>
    <row r="456" spans="1:36" x14ac:dyDescent="0.2">
      <c r="A456" s="190" t="s">
        <v>59</v>
      </c>
      <c r="B456" s="642">
        <v>0</v>
      </c>
      <c r="C456" s="184">
        <v>0</v>
      </c>
      <c r="D456" s="184">
        <v>0</v>
      </c>
      <c r="E456" s="184">
        <v>0</v>
      </c>
      <c r="F456" s="184">
        <v>0</v>
      </c>
      <c r="G456" s="184">
        <v>0</v>
      </c>
      <c r="H456" s="184">
        <v>0</v>
      </c>
      <c r="I456" s="184">
        <v>0</v>
      </c>
      <c r="J456" s="184">
        <v>0</v>
      </c>
      <c r="K456" s="184">
        <v>0</v>
      </c>
      <c r="L456" s="184">
        <v>0</v>
      </c>
      <c r="M456" s="654" t="s">
        <v>24</v>
      </c>
      <c r="N456" s="669" t="s">
        <v>59</v>
      </c>
      <c r="O456" s="642">
        <v>0</v>
      </c>
      <c r="P456" s="184">
        <v>0</v>
      </c>
      <c r="Q456" s="184">
        <v>0</v>
      </c>
      <c r="R456" s="184">
        <v>0</v>
      </c>
      <c r="S456" s="184">
        <v>0</v>
      </c>
      <c r="T456" s="184">
        <v>0</v>
      </c>
      <c r="U456" s="184">
        <v>0</v>
      </c>
      <c r="V456" s="184">
        <v>0</v>
      </c>
      <c r="W456" s="184">
        <v>0</v>
      </c>
      <c r="X456" s="184">
        <v>0</v>
      </c>
      <c r="Y456" s="184">
        <v>0</v>
      </c>
      <c r="Z456" s="184">
        <v>0</v>
      </c>
      <c r="AA456" s="184">
        <v>0</v>
      </c>
      <c r="AB456" s="184">
        <v>0</v>
      </c>
      <c r="AC456" s="185" t="s">
        <v>24</v>
      </c>
      <c r="AD456" s="185" t="s">
        <v>24</v>
      </c>
      <c r="AE456" s="184">
        <v>0</v>
      </c>
      <c r="AF456" s="185">
        <v>0</v>
      </c>
      <c r="AG456" s="184">
        <v>0</v>
      </c>
      <c r="AH456" s="185">
        <v>0</v>
      </c>
      <c r="AI456" s="184">
        <v>0</v>
      </c>
      <c r="AJ456" s="643">
        <v>0</v>
      </c>
    </row>
    <row r="457" spans="1:36" x14ac:dyDescent="0.2">
      <c r="A457" s="190" t="s">
        <v>61</v>
      </c>
      <c r="B457" s="642">
        <v>0</v>
      </c>
      <c r="C457" s="184">
        <v>0</v>
      </c>
      <c r="D457" s="184">
        <v>0</v>
      </c>
      <c r="E457" s="184">
        <v>0</v>
      </c>
      <c r="F457" s="184">
        <v>0</v>
      </c>
      <c r="G457" s="184">
        <v>0</v>
      </c>
      <c r="H457" s="184">
        <v>0</v>
      </c>
      <c r="I457" s="184">
        <v>0</v>
      </c>
      <c r="J457" s="184">
        <v>0</v>
      </c>
      <c r="K457" s="184">
        <v>0</v>
      </c>
      <c r="L457" s="184">
        <v>0</v>
      </c>
      <c r="M457" s="654" t="s">
        <v>24</v>
      </c>
      <c r="N457" s="669" t="s">
        <v>61</v>
      </c>
      <c r="O457" s="642">
        <v>0</v>
      </c>
      <c r="P457" s="184">
        <v>0</v>
      </c>
      <c r="Q457" s="184">
        <v>0</v>
      </c>
      <c r="R457" s="184">
        <v>0</v>
      </c>
      <c r="S457" s="184">
        <v>0</v>
      </c>
      <c r="T457" s="184">
        <v>0</v>
      </c>
      <c r="U457" s="184">
        <v>0</v>
      </c>
      <c r="V457" s="184">
        <v>0</v>
      </c>
      <c r="W457" s="184">
        <v>0</v>
      </c>
      <c r="X457" s="184">
        <v>0</v>
      </c>
      <c r="Y457" s="184">
        <v>0</v>
      </c>
      <c r="Z457" s="184">
        <v>0</v>
      </c>
      <c r="AA457" s="184">
        <v>0</v>
      </c>
      <c r="AB457" s="184">
        <v>0</v>
      </c>
      <c r="AC457" s="185" t="s">
        <v>24</v>
      </c>
      <c r="AD457" s="185" t="s">
        <v>24</v>
      </c>
      <c r="AE457" s="184">
        <v>0</v>
      </c>
      <c r="AF457" s="185">
        <v>0</v>
      </c>
      <c r="AG457" s="184">
        <v>0</v>
      </c>
      <c r="AH457" s="185">
        <v>0</v>
      </c>
      <c r="AI457" s="184">
        <v>0</v>
      </c>
      <c r="AJ457" s="643">
        <v>0</v>
      </c>
    </row>
    <row r="458" spans="1:36" x14ac:dyDescent="0.2">
      <c r="A458" s="190" t="s">
        <v>63</v>
      </c>
      <c r="B458" s="642">
        <v>0</v>
      </c>
      <c r="C458" s="184">
        <v>0</v>
      </c>
      <c r="D458" s="184">
        <v>0</v>
      </c>
      <c r="E458" s="184">
        <v>0</v>
      </c>
      <c r="F458" s="184">
        <v>0</v>
      </c>
      <c r="G458" s="184">
        <v>0</v>
      </c>
      <c r="H458" s="184">
        <v>0</v>
      </c>
      <c r="I458" s="184">
        <v>0</v>
      </c>
      <c r="J458" s="184">
        <v>0</v>
      </c>
      <c r="K458" s="184">
        <v>0</v>
      </c>
      <c r="L458" s="184">
        <v>0</v>
      </c>
      <c r="M458" s="654" t="s">
        <v>24</v>
      </c>
      <c r="N458" s="669" t="s">
        <v>63</v>
      </c>
      <c r="O458" s="642">
        <v>0</v>
      </c>
      <c r="P458" s="184">
        <v>0</v>
      </c>
      <c r="Q458" s="184">
        <v>0</v>
      </c>
      <c r="R458" s="184">
        <v>0</v>
      </c>
      <c r="S458" s="184">
        <v>0</v>
      </c>
      <c r="T458" s="184">
        <v>0</v>
      </c>
      <c r="U458" s="184">
        <v>0</v>
      </c>
      <c r="V458" s="184">
        <v>0</v>
      </c>
      <c r="W458" s="184">
        <v>0</v>
      </c>
      <c r="X458" s="184">
        <v>0</v>
      </c>
      <c r="Y458" s="184">
        <v>0</v>
      </c>
      <c r="Z458" s="184">
        <v>0</v>
      </c>
      <c r="AA458" s="184">
        <v>0</v>
      </c>
      <c r="AB458" s="184">
        <v>0</v>
      </c>
      <c r="AC458" s="185" t="s">
        <v>24</v>
      </c>
      <c r="AD458" s="185" t="s">
        <v>24</v>
      </c>
      <c r="AE458" s="184">
        <v>0</v>
      </c>
      <c r="AF458" s="185">
        <v>0</v>
      </c>
      <c r="AG458" s="184">
        <v>0</v>
      </c>
      <c r="AH458" s="185">
        <v>0</v>
      </c>
      <c r="AI458" s="184">
        <v>0</v>
      </c>
      <c r="AJ458" s="643">
        <v>0</v>
      </c>
    </row>
    <row r="459" spans="1:36" x14ac:dyDescent="0.2">
      <c r="A459" s="190" t="s">
        <v>44</v>
      </c>
      <c r="B459" s="642">
        <v>0</v>
      </c>
      <c r="C459" s="184">
        <v>0</v>
      </c>
      <c r="D459" s="184">
        <v>0</v>
      </c>
      <c r="E459" s="184">
        <v>0</v>
      </c>
      <c r="F459" s="184">
        <v>0</v>
      </c>
      <c r="G459" s="184">
        <v>0</v>
      </c>
      <c r="H459" s="184">
        <v>0</v>
      </c>
      <c r="I459" s="184">
        <v>0</v>
      </c>
      <c r="J459" s="184">
        <v>0</v>
      </c>
      <c r="K459" s="184">
        <v>0</v>
      </c>
      <c r="L459" s="184">
        <v>0</v>
      </c>
      <c r="M459" s="654" t="s">
        <v>24</v>
      </c>
      <c r="N459" s="669" t="s">
        <v>44</v>
      </c>
      <c r="O459" s="642">
        <v>0</v>
      </c>
      <c r="P459" s="184">
        <v>0</v>
      </c>
      <c r="Q459" s="184">
        <v>0</v>
      </c>
      <c r="R459" s="184">
        <v>0</v>
      </c>
      <c r="S459" s="184">
        <v>0</v>
      </c>
      <c r="T459" s="184">
        <v>0</v>
      </c>
      <c r="U459" s="184">
        <v>0</v>
      </c>
      <c r="V459" s="184">
        <v>0</v>
      </c>
      <c r="W459" s="184">
        <v>0</v>
      </c>
      <c r="X459" s="184">
        <v>0</v>
      </c>
      <c r="Y459" s="184">
        <v>0</v>
      </c>
      <c r="Z459" s="184">
        <v>0</v>
      </c>
      <c r="AA459" s="184">
        <v>0</v>
      </c>
      <c r="AB459" s="184">
        <v>0</v>
      </c>
      <c r="AC459" s="185" t="s">
        <v>24</v>
      </c>
      <c r="AD459" s="185" t="s">
        <v>24</v>
      </c>
      <c r="AE459" s="184">
        <v>0</v>
      </c>
      <c r="AF459" s="185">
        <v>0</v>
      </c>
      <c r="AG459" s="184">
        <v>0</v>
      </c>
      <c r="AH459" s="185">
        <v>0</v>
      </c>
      <c r="AI459" s="184">
        <v>0</v>
      </c>
      <c r="AJ459" s="643">
        <v>0</v>
      </c>
    </row>
    <row r="460" spans="1:36" x14ac:dyDescent="0.2">
      <c r="A460" s="190" t="s">
        <v>66</v>
      </c>
      <c r="B460" s="642">
        <v>1</v>
      </c>
      <c r="C460" s="184">
        <v>0</v>
      </c>
      <c r="D460" s="184">
        <v>1</v>
      </c>
      <c r="E460" s="184">
        <v>0</v>
      </c>
      <c r="F460" s="184">
        <v>0</v>
      </c>
      <c r="G460" s="184">
        <v>0</v>
      </c>
      <c r="H460" s="184">
        <v>0</v>
      </c>
      <c r="I460" s="184">
        <v>0</v>
      </c>
      <c r="J460" s="184">
        <v>0</v>
      </c>
      <c r="K460" s="184">
        <v>0</v>
      </c>
      <c r="L460" s="184">
        <v>0</v>
      </c>
      <c r="M460" s="654" t="s">
        <v>24</v>
      </c>
      <c r="N460" s="669" t="s">
        <v>66</v>
      </c>
      <c r="O460" s="642">
        <v>0</v>
      </c>
      <c r="P460" s="184">
        <v>0</v>
      </c>
      <c r="Q460" s="184">
        <v>0</v>
      </c>
      <c r="R460" s="184">
        <v>0</v>
      </c>
      <c r="S460" s="184">
        <v>0</v>
      </c>
      <c r="T460" s="184">
        <v>0</v>
      </c>
      <c r="U460" s="184">
        <v>1</v>
      </c>
      <c r="V460" s="184">
        <v>0</v>
      </c>
      <c r="W460" s="184">
        <v>0</v>
      </c>
      <c r="X460" s="184">
        <v>0</v>
      </c>
      <c r="Y460" s="184">
        <v>0</v>
      </c>
      <c r="Z460" s="184">
        <v>0</v>
      </c>
      <c r="AA460" s="184">
        <v>0</v>
      </c>
      <c r="AB460" s="184">
        <v>0</v>
      </c>
      <c r="AC460" s="185">
        <v>39.299999999999997</v>
      </c>
      <c r="AD460" s="185" t="s">
        <v>24</v>
      </c>
      <c r="AE460" s="184">
        <v>0</v>
      </c>
      <c r="AF460" s="185">
        <v>0</v>
      </c>
      <c r="AG460" s="184">
        <v>0</v>
      </c>
      <c r="AH460" s="185">
        <v>0</v>
      </c>
      <c r="AI460" s="184">
        <v>0</v>
      </c>
      <c r="AJ460" s="643">
        <v>0</v>
      </c>
    </row>
    <row r="461" spans="1:36" x14ac:dyDescent="0.2">
      <c r="A461" s="190" t="s">
        <v>68</v>
      </c>
      <c r="B461" s="642">
        <v>0</v>
      </c>
      <c r="C461" s="184">
        <v>0</v>
      </c>
      <c r="D461" s="184">
        <v>0</v>
      </c>
      <c r="E461" s="184">
        <v>0</v>
      </c>
      <c r="F461" s="184">
        <v>0</v>
      </c>
      <c r="G461" s="184">
        <v>0</v>
      </c>
      <c r="H461" s="184">
        <v>0</v>
      </c>
      <c r="I461" s="184">
        <v>0</v>
      </c>
      <c r="J461" s="184">
        <v>0</v>
      </c>
      <c r="K461" s="184">
        <v>0</v>
      </c>
      <c r="L461" s="184">
        <v>0</v>
      </c>
      <c r="M461" s="654" t="s">
        <v>24</v>
      </c>
      <c r="N461" s="669" t="s">
        <v>68</v>
      </c>
      <c r="O461" s="642">
        <v>0</v>
      </c>
      <c r="P461" s="184">
        <v>0</v>
      </c>
      <c r="Q461" s="184">
        <v>0</v>
      </c>
      <c r="R461" s="184">
        <v>0</v>
      </c>
      <c r="S461" s="184">
        <v>0</v>
      </c>
      <c r="T461" s="184">
        <v>0</v>
      </c>
      <c r="U461" s="184">
        <v>0</v>
      </c>
      <c r="V461" s="184">
        <v>0</v>
      </c>
      <c r="W461" s="184">
        <v>0</v>
      </c>
      <c r="X461" s="184">
        <v>0</v>
      </c>
      <c r="Y461" s="184">
        <v>0</v>
      </c>
      <c r="Z461" s="184">
        <v>0</v>
      </c>
      <c r="AA461" s="184">
        <v>0</v>
      </c>
      <c r="AB461" s="184">
        <v>0</v>
      </c>
      <c r="AC461" s="185" t="s">
        <v>24</v>
      </c>
      <c r="AD461" s="185" t="s">
        <v>24</v>
      </c>
      <c r="AE461" s="184">
        <v>0</v>
      </c>
      <c r="AF461" s="185">
        <v>0</v>
      </c>
      <c r="AG461" s="184">
        <v>0</v>
      </c>
      <c r="AH461" s="185">
        <v>0</v>
      </c>
      <c r="AI461" s="184">
        <v>0</v>
      </c>
      <c r="AJ461" s="643">
        <v>0</v>
      </c>
    </row>
    <row r="462" spans="1:36" x14ac:dyDescent="0.2">
      <c r="A462" s="190" t="s">
        <v>70</v>
      </c>
      <c r="B462" s="642">
        <v>0</v>
      </c>
      <c r="C462" s="184">
        <v>0</v>
      </c>
      <c r="D462" s="184">
        <v>0</v>
      </c>
      <c r="E462" s="184">
        <v>0</v>
      </c>
      <c r="F462" s="184">
        <v>0</v>
      </c>
      <c r="G462" s="184">
        <v>0</v>
      </c>
      <c r="H462" s="184">
        <v>0</v>
      </c>
      <c r="I462" s="184">
        <v>0</v>
      </c>
      <c r="J462" s="184">
        <v>0</v>
      </c>
      <c r="K462" s="184">
        <v>0</v>
      </c>
      <c r="L462" s="184">
        <v>0</v>
      </c>
      <c r="M462" s="654" t="s">
        <v>24</v>
      </c>
      <c r="N462" s="669" t="s">
        <v>70</v>
      </c>
      <c r="O462" s="642">
        <v>0</v>
      </c>
      <c r="P462" s="184">
        <v>0</v>
      </c>
      <c r="Q462" s="184">
        <v>0</v>
      </c>
      <c r="R462" s="184">
        <v>0</v>
      </c>
      <c r="S462" s="184">
        <v>0</v>
      </c>
      <c r="T462" s="184">
        <v>0</v>
      </c>
      <c r="U462" s="184">
        <v>0</v>
      </c>
      <c r="V462" s="184">
        <v>0</v>
      </c>
      <c r="W462" s="184">
        <v>0</v>
      </c>
      <c r="X462" s="184">
        <v>0</v>
      </c>
      <c r="Y462" s="184">
        <v>0</v>
      </c>
      <c r="Z462" s="184">
        <v>0</v>
      </c>
      <c r="AA462" s="184">
        <v>0</v>
      </c>
      <c r="AB462" s="184">
        <v>0</v>
      </c>
      <c r="AC462" s="185" t="s">
        <v>24</v>
      </c>
      <c r="AD462" s="185" t="s">
        <v>24</v>
      </c>
      <c r="AE462" s="184">
        <v>0</v>
      </c>
      <c r="AF462" s="185">
        <v>0</v>
      </c>
      <c r="AG462" s="184">
        <v>0</v>
      </c>
      <c r="AH462" s="185">
        <v>0</v>
      </c>
      <c r="AI462" s="184">
        <v>0</v>
      </c>
      <c r="AJ462" s="643">
        <v>0</v>
      </c>
    </row>
    <row r="463" spans="1:36" x14ac:dyDescent="0.2">
      <c r="A463" s="190" t="s">
        <v>46</v>
      </c>
      <c r="B463" s="642">
        <v>0</v>
      </c>
      <c r="C463" s="184">
        <v>0</v>
      </c>
      <c r="D463" s="184">
        <v>0</v>
      </c>
      <c r="E463" s="184">
        <v>0</v>
      </c>
      <c r="F463" s="184">
        <v>0</v>
      </c>
      <c r="G463" s="184">
        <v>0</v>
      </c>
      <c r="H463" s="184">
        <v>0</v>
      </c>
      <c r="I463" s="184">
        <v>0</v>
      </c>
      <c r="J463" s="184">
        <v>0</v>
      </c>
      <c r="K463" s="184">
        <v>0</v>
      </c>
      <c r="L463" s="184">
        <v>0</v>
      </c>
      <c r="M463" s="654" t="s">
        <v>24</v>
      </c>
      <c r="N463" s="669" t="s">
        <v>46</v>
      </c>
      <c r="O463" s="642">
        <v>0</v>
      </c>
      <c r="P463" s="184">
        <v>0</v>
      </c>
      <c r="Q463" s="184">
        <v>0</v>
      </c>
      <c r="R463" s="184">
        <v>0</v>
      </c>
      <c r="S463" s="184">
        <v>0</v>
      </c>
      <c r="T463" s="184">
        <v>0</v>
      </c>
      <c r="U463" s="184">
        <v>0</v>
      </c>
      <c r="V463" s="184">
        <v>0</v>
      </c>
      <c r="W463" s="184">
        <v>0</v>
      </c>
      <c r="X463" s="184">
        <v>0</v>
      </c>
      <c r="Y463" s="184">
        <v>0</v>
      </c>
      <c r="Z463" s="184">
        <v>0</v>
      </c>
      <c r="AA463" s="184">
        <v>0</v>
      </c>
      <c r="AB463" s="184">
        <v>0</v>
      </c>
      <c r="AC463" s="185" t="s">
        <v>24</v>
      </c>
      <c r="AD463" s="185" t="s">
        <v>24</v>
      </c>
      <c r="AE463" s="184">
        <v>0</v>
      </c>
      <c r="AF463" s="185">
        <v>0</v>
      </c>
      <c r="AG463" s="184">
        <v>0</v>
      </c>
      <c r="AH463" s="185">
        <v>0</v>
      </c>
      <c r="AI463" s="184">
        <v>0</v>
      </c>
      <c r="AJ463" s="643">
        <v>0</v>
      </c>
    </row>
    <row r="464" spans="1:36" x14ac:dyDescent="0.2">
      <c r="A464" s="190" t="s">
        <v>73</v>
      </c>
      <c r="B464" s="642">
        <v>0</v>
      </c>
      <c r="C464" s="184">
        <v>0</v>
      </c>
      <c r="D464" s="184">
        <v>0</v>
      </c>
      <c r="E464" s="184">
        <v>0</v>
      </c>
      <c r="F464" s="184">
        <v>0</v>
      </c>
      <c r="G464" s="184">
        <v>0</v>
      </c>
      <c r="H464" s="184">
        <v>0</v>
      </c>
      <c r="I464" s="184">
        <v>0</v>
      </c>
      <c r="J464" s="184">
        <v>0</v>
      </c>
      <c r="K464" s="184">
        <v>0</v>
      </c>
      <c r="L464" s="184">
        <v>0</v>
      </c>
      <c r="M464" s="654" t="s">
        <v>24</v>
      </c>
      <c r="N464" s="669" t="s">
        <v>73</v>
      </c>
      <c r="O464" s="642">
        <v>0</v>
      </c>
      <c r="P464" s="184">
        <v>0</v>
      </c>
      <c r="Q464" s="184">
        <v>0</v>
      </c>
      <c r="R464" s="184">
        <v>0</v>
      </c>
      <c r="S464" s="184">
        <v>0</v>
      </c>
      <c r="T464" s="184">
        <v>0</v>
      </c>
      <c r="U464" s="184">
        <v>0</v>
      </c>
      <c r="V464" s="184">
        <v>0</v>
      </c>
      <c r="W464" s="184">
        <v>0</v>
      </c>
      <c r="X464" s="184">
        <v>0</v>
      </c>
      <c r="Y464" s="184">
        <v>0</v>
      </c>
      <c r="Z464" s="184">
        <v>0</v>
      </c>
      <c r="AA464" s="184">
        <v>0</v>
      </c>
      <c r="AB464" s="184">
        <v>0</v>
      </c>
      <c r="AC464" s="185" t="s">
        <v>24</v>
      </c>
      <c r="AD464" s="185" t="s">
        <v>24</v>
      </c>
      <c r="AE464" s="184">
        <v>0</v>
      </c>
      <c r="AF464" s="185">
        <v>0</v>
      </c>
      <c r="AG464" s="184">
        <v>0</v>
      </c>
      <c r="AH464" s="185">
        <v>0</v>
      </c>
      <c r="AI464" s="184">
        <v>0</v>
      </c>
      <c r="AJ464" s="643">
        <v>0</v>
      </c>
    </row>
    <row r="465" spans="1:36" x14ac:dyDescent="0.2">
      <c r="A465" s="190" t="s">
        <v>75</v>
      </c>
      <c r="B465" s="642">
        <v>0</v>
      </c>
      <c r="C465" s="184">
        <v>0</v>
      </c>
      <c r="D465" s="184">
        <v>0</v>
      </c>
      <c r="E465" s="184">
        <v>0</v>
      </c>
      <c r="F465" s="184">
        <v>0</v>
      </c>
      <c r="G465" s="184">
        <v>0</v>
      </c>
      <c r="H465" s="184">
        <v>0</v>
      </c>
      <c r="I465" s="184">
        <v>0</v>
      </c>
      <c r="J465" s="184">
        <v>0</v>
      </c>
      <c r="K465" s="184">
        <v>0</v>
      </c>
      <c r="L465" s="184">
        <v>0</v>
      </c>
      <c r="M465" s="654" t="s">
        <v>24</v>
      </c>
      <c r="N465" s="669" t="s">
        <v>75</v>
      </c>
      <c r="O465" s="642">
        <v>0</v>
      </c>
      <c r="P465" s="184">
        <v>0</v>
      </c>
      <c r="Q465" s="184">
        <v>0</v>
      </c>
      <c r="R465" s="184">
        <v>0</v>
      </c>
      <c r="S465" s="184">
        <v>0</v>
      </c>
      <c r="T465" s="184">
        <v>0</v>
      </c>
      <c r="U465" s="184">
        <v>0</v>
      </c>
      <c r="V465" s="184">
        <v>0</v>
      </c>
      <c r="W465" s="184">
        <v>0</v>
      </c>
      <c r="X465" s="184">
        <v>0</v>
      </c>
      <c r="Y465" s="184">
        <v>0</v>
      </c>
      <c r="Z465" s="184">
        <v>0</v>
      </c>
      <c r="AA465" s="184">
        <v>0</v>
      </c>
      <c r="AB465" s="184">
        <v>0</v>
      </c>
      <c r="AC465" s="185" t="s">
        <v>24</v>
      </c>
      <c r="AD465" s="185" t="s">
        <v>24</v>
      </c>
      <c r="AE465" s="184">
        <v>0</v>
      </c>
      <c r="AF465" s="185">
        <v>0</v>
      </c>
      <c r="AG465" s="184">
        <v>0</v>
      </c>
      <c r="AH465" s="185">
        <v>0</v>
      </c>
      <c r="AI465" s="184">
        <v>0</v>
      </c>
      <c r="AJ465" s="643">
        <v>0</v>
      </c>
    </row>
    <row r="466" spans="1:36" ht="13.5" thickBot="1" x14ac:dyDescent="0.25">
      <c r="A466" s="190" t="s">
        <v>77</v>
      </c>
      <c r="B466" s="644">
        <v>0</v>
      </c>
      <c r="C466" s="188">
        <v>0</v>
      </c>
      <c r="D466" s="188">
        <v>0</v>
      </c>
      <c r="E466" s="188">
        <v>0</v>
      </c>
      <c r="F466" s="188">
        <v>0</v>
      </c>
      <c r="G466" s="188">
        <v>0</v>
      </c>
      <c r="H466" s="188">
        <v>0</v>
      </c>
      <c r="I466" s="188">
        <v>0</v>
      </c>
      <c r="J466" s="188">
        <v>0</v>
      </c>
      <c r="K466" s="188">
        <v>0</v>
      </c>
      <c r="L466" s="188">
        <v>0</v>
      </c>
      <c r="M466" s="655" t="s">
        <v>24</v>
      </c>
      <c r="N466" s="669" t="s">
        <v>77</v>
      </c>
      <c r="O466" s="644">
        <v>0</v>
      </c>
      <c r="P466" s="188">
        <v>0</v>
      </c>
      <c r="Q466" s="188">
        <v>0</v>
      </c>
      <c r="R466" s="188">
        <v>0</v>
      </c>
      <c r="S466" s="188">
        <v>0</v>
      </c>
      <c r="T466" s="188">
        <v>0</v>
      </c>
      <c r="U466" s="188">
        <v>0</v>
      </c>
      <c r="V466" s="188">
        <v>0</v>
      </c>
      <c r="W466" s="188">
        <v>0</v>
      </c>
      <c r="X466" s="188">
        <v>0</v>
      </c>
      <c r="Y466" s="188">
        <v>0</v>
      </c>
      <c r="Z466" s="188">
        <v>0</v>
      </c>
      <c r="AA466" s="188">
        <v>0</v>
      </c>
      <c r="AB466" s="188">
        <v>0</v>
      </c>
      <c r="AC466" s="189" t="s">
        <v>24</v>
      </c>
      <c r="AD466" s="189" t="s">
        <v>24</v>
      </c>
      <c r="AE466" s="188">
        <v>0</v>
      </c>
      <c r="AF466" s="189">
        <v>0</v>
      </c>
      <c r="AG466" s="188">
        <v>0</v>
      </c>
      <c r="AH466" s="189">
        <v>0</v>
      </c>
      <c r="AI466" s="188">
        <v>0</v>
      </c>
      <c r="AJ466" s="645">
        <v>0</v>
      </c>
    </row>
    <row r="467" spans="1:36" x14ac:dyDescent="0.2">
      <c r="A467" s="190" t="s">
        <v>48</v>
      </c>
      <c r="B467" s="642">
        <v>0</v>
      </c>
      <c r="C467" s="184">
        <v>0</v>
      </c>
      <c r="D467" s="184">
        <v>0</v>
      </c>
      <c r="E467" s="184">
        <v>0</v>
      </c>
      <c r="F467" s="184">
        <v>0</v>
      </c>
      <c r="G467" s="184">
        <v>0</v>
      </c>
      <c r="H467" s="184">
        <v>0</v>
      </c>
      <c r="I467" s="184">
        <v>0</v>
      </c>
      <c r="J467" s="184">
        <v>0</v>
      </c>
      <c r="K467" s="184">
        <v>0</v>
      </c>
      <c r="L467" s="184">
        <v>0</v>
      </c>
      <c r="M467" s="654" t="s">
        <v>24</v>
      </c>
      <c r="N467" s="669" t="s">
        <v>48</v>
      </c>
      <c r="O467" s="642">
        <v>0</v>
      </c>
      <c r="P467" s="184">
        <v>0</v>
      </c>
      <c r="Q467" s="184">
        <v>0</v>
      </c>
      <c r="R467" s="184">
        <v>0</v>
      </c>
      <c r="S467" s="184">
        <v>0</v>
      </c>
      <c r="T467" s="184">
        <v>0</v>
      </c>
      <c r="U467" s="184">
        <v>0</v>
      </c>
      <c r="V467" s="184">
        <v>0</v>
      </c>
      <c r="W467" s="184">
        <v>0</v>
      </c>
      <c r="X467" s="184">
        <v>0</v>
      </c>
      <c r="Y467" s="184">
        <v>0</v>
      </c>
      <c r="Z467" s="184">
        <v>0</v>
      </c>
      <c r="AA467" s="184">
        <v>0</v>
      </c>
      <c r="AB467" s="184">
        <v>0</v>
      </c>
      <c r="AC467" s="185" t="s">
        <v>24</v>
      </c>
      <c r="AD467" s="185" t="s">
        <v>24</v>
      </c>
      <c r="AE467" s="184">
        <v>0</v>
      </c>
      <c r="AF467" s="185">
        <v>0</v>
      </c>
      <c r="AG467" s="184">
        <v>0</v>
      </c>
      <c r="AH467" s="185">
        <v>0</v>
      </c>
      <c r="AI467" s="184">
        <v>0</v>
      </c>
      <c r="AJ467" s="643">
        <v>0</v>
      </c>
    </row>
    <row r="468" spans="1:36" x14ac:dyDescent="0.2">
      <c r="A468" s="190" t="s">
        <v>79</v>
      </c>
      <c r="B468" s="642">
        <v>1</v>
      </c>
      <c r="C468" s="184">
        <v>0</v>
      </c>
      <c r="D468" s="184">
        <v>0</v>
      </c>
      <c r="E468" s="184">
        <v>0</v>
      </c>
      <c r="F468" s="184">
        <v>1</v>
      </c>
      <c r="G468" s="184">
        <v>0</v>
      </c>
      <c r="H468" s="184">
        <v>0</v>
      </c>
      <c r="I468" s="184">
        <v>0</v>
      </c>
      <c r="J468" s="184">
        <v>0</v>
      </c>
      <c r="K468" s="184">
        <v>0</v>
      </c>
      <c r="L468" s="184">
        <v>0</v>
      </c>
      <c r="M468" s="654" t="s">
        <v>24</v>
      </c>
      <c r="N468" s="669" t="s">
        <v>79</v>
      </c>
      <c r="O468" s="642">
        <v>0</v>
      </c>
      <c r="P468" s="184">
        <v>0</v>
      </c>
      <c r="Q468" s="184">
        <v>0</v>
      </c>
      <c r="R468" s="184">
        <v>0</v>
      </c>
      <c r="S468" s="184">
        <v>0</v>
      </c>
      <c r="T468" s="184">
        <v>0</v>
      </c>
      <c r="U468" s="184">
        <v>0</v>
      </c>
      <c r="V468" s="184">
        <v>1</v>
      </c>
      <c r="W468" s="184">
        <v>0</v>
      </c>
      <c r="X468" s="184">
        <v>0</v>
      </c>
      <c r="Y468" s="184">
        <v>0</v>
      </c>
      <c r="Z468" s="184">
        <v>0</v>
      </c>
      <c r="AA468" s="184">
        <v>0</v>
      </c>
      <c r="AB468" s="184">
        <v>0</v>
      </c>
      <c r="AC468" s="185">
        <v>40.799999999999997</v>
      </c>
      <c r="AD468" s="185" t="s">
        <v>24</v>
      </c>
      <c r="AE468" s="184">
        <v>0</v>
      </c>
      <c r="AF468" s="185">
        <v>0</v>
      </c>
      <c r="AG468" s="184">
        <v>0</v>
      </c>
      <c r="AH468" s="185">
        <v>0</v>
      </c>
      <c r="AI468" s="184">
        <v>0</v>
      </c>
      <c r="AJ468" s="643">
        <v>0</v>
      </c>
    </row>
    <row r="469" spans="1:36" x14ac:dyDescent="0.2">
      <c r="A469" s="190" t="s">
        <v>80</v>
      </c>
      <c r="B469" s="642">
        <v>1</v>
      </c>
      <c r="C469" s="184">
        <v>0</v>
      </c>
      <c r="D469" s="184">
        <v>1</v>
      </c>
      <c r="E469" s="184">
        <v>0</v>
      </c>
      <c r="F469" s="184">
        <v>0</v>
      </c>
      <c r="G469" s="184">
        <v>0</v>
      </c>
      <c r="H469" s="184">
        <v>0</v>
      </c>
      <c r="I469" s="184">
        <v>0</v>
      </c>
      <c r="J469" s="184">
        <v>0</v>
      </c>
      <c r="K469" s="184">
        <v>0</v>
      </c>
      <c r="L469" s="184">
        <v>0</v>
      </c>
      <c r="M469" s="654" t="s">
        <v>24</v>
      </c>
      <c r="N469" s="669" t="s">
        <v>80</v>
      </c>
      <c r="O469" s="642">
        <v>0</v>
      </c>
      <c r="P469" s="184">
        <v>0</v>
      </c>
      <c r="Q469" s="184">
        <v>0</v>
      </c>
      <c r="R469" s="184">
        <v>0</v>
      </c>
      <c r="S469" s="184">
        <v>0</v>
      </c>
      <c r="T469" s="184">
        <v>0</v>
      </c>
      <c r="U469" s="184">
        <v>0</v>
      </c>
      <c r="V469" s="184">
        <v>1</v>
      </c>
      <c r="W469" s="184">
        <v>0</v>
      </c>
      <c r="X469" s="184">
        <v>0</v>
      </c>
      <c r="Y469" s="184">
        <v>0</v>
      </c>
      <c r="Z469" s="184">
        <v>0</v>
      </c>
      <c r="AA469" s="184">
        <v>0</v>
      </c>
      <c r="AB469" s="184">
        <v>0</v>
      </c>
      <c r="AC469" s="185">
        <v>41.1</v>
      </c>
      <c r="AD469" s="185" t="s">
        <v>24</v>
      </c>
      <c r="AE469" s="184">
        <v>0</v>
      </c>
      <c r="AF469" s="185">
        <v>0</v>
      </c>
      <c r="AG469" s="184">
        <v>0</v>
      </c>
      <c r="AH469" s="185">
        <v>0</v>
      </c>
      <c r="AI469" s="184">
        <v>0</v>
      </c>
      <c r="AJ469" s="643">
        <v>0</v>
      </c>
    </row>
    <row r="470" spans="1:36" ht="13.5" thickBot="1" x14ac:dyDescent="0.25">
      <c r="A470" s="190" t="s">
        <v>81</v>
      </c>
      <c r="B470" s="644">
        <v>1</v>
      </c>
      <c r="C470" s="188">
        <v>1</v>
      </c>
      <c r="D470" s="188">
        <v>0</v>
      </c>
      <c r="E470" s="188">
        <v>0</v>
      </c>
      <c r="F470" s="188">
        <v>0</v>
      </c>
      <c r="G470" s="188">
        <v>0</v>
      </c>
      <c r="H470" s="188">
        <v>0</v>
      </c>
      <c r="I470" s="188">
        <v>0</v>
      </c>
      <c r="J470" s="188">
        <v>0</v>
      </c>
      <c r="K470" s="188">
        <v>0</v>
      </c>
      <c r="L470" s="188">
        <v>0</v>
      </c>
      <c r="M470" s="655" t="s">
        <v>24</v>
      </c>
      <c r="N470" s="669" t="s">
        <v>81</v>
      </c>
      <c r="O470" s="644">
        <v>0</v>
      </c>
      <c r="P470" s="188">
        <v>0</v>
      </c>
      <c r="Q470" s="188">
        <v>1</v>
      </c>
      <c r="R470" s="188">
        <v>0</v>
      </c>
      <c r="S470" s="188">
        <v>0</v>
      </c>
      <c r="T470" s="188">
        <v>0</v>
      </c>
      <c r="U470" s="188">
        <v>0</v>
      </c>
      <c r="V470" s="188">
        <v>0</v>
      </c>
      <c r="W470" s="188">
        <v>0</v>
      </c>
      <c r="X470" s="188">
        <v>0</v>
      </c>
      <c r="Y470" s="188">
        <v>0</v>
      </c>
      <c r="Z470" s="188">
        <v>0</v>
      </c>
      <c r="AA470" s="188">
        <v>0</v>
      </c>
      <c r="AB470" s="188">
        <v>0</v>
      </c>
      <c r="AC470" s="189">
        <v>19.8</v>
      </c>
      <c r="AD470" s="189" t="s">
        <v>24</v>
      </c>
      <c r="AE470" s="188">
        <v>0</v>
      </c>
      <c r="AF470" s="189">
        <v>0</v>
      </c>
      <c r="AG470" s="188">
        <v>0</v>
      </c>
      <c r="AH470" s="189">
        <v>0</v>
      </c>
      <c r="AI470" s="188">
        <v>0</v>
      </c>
      <c r="AJ470" s="645">
        <v>0</v>
      </c>
    </row>
    <row r="471" spans="1:36" x14ac:dyDescent="0.2">
      <c r="A471" s="190" t="s">
        <v>50</v>
      </c>
      <c r="B471" s="646">
        <v>2</v>
      </c>
      <c r="C471" s="186">
        <v>0</v>
      </c>
      <c r="D471" s="186">
        <v>2</v>
      </c>
      <c r="E471" s="186">
        <v>0</v>
      </c>
      <c r="F471" s="186">
        <v>0</v>
      </c>
      <c r="G471" s="186">
        <v>0</v>
      </c>
      <c r="H471" s="186">
        <v>0</v>
      </c>
      <c r="I471" s="186">
        <v>0</v>
      </c>
      <c r="J471" s="186">
        <v>0</v>
      </c>
      <c r="K471" s="186">
        <v>0</v>
      </c>
      <c r="L471" s="186">
        <v>0</v>
      </c>
      <c r="M471" s="656" t="s">
        <v>24</v>
      </c>
      <c r="N471" s="669" t="s">
        <v>50</v>
      </c>
      <c r="O471" s="646">
        <v>0</v>
      </c>
      <c r="P471" s="186">
        <v>0</v>
      </c>
      <c r="Q471" s="186">
        <v>0</v>
      </c>
      <c r="R471" s="186">
        <v>0</v>
      </c>
      <c r="S471" s="186">
        <v>0</v>
      </c>
      <c r="T471" s="186">
        <v>0</v>
      </c>
      <c r="U471" s="186">
        <v>1</v>
      </c>
      <c r="V471" s="186">
        <v>1</v>
      </c>
      <c r="W471" s="186">
        <v>0</v>
      </c>
      <c r="X471" s="186">
        <v>0</v>
      </c>
      <c r="Y471" s="186">
        <v>0</v>
      </c>
      <c r="Z471" s="186">
        <v>0</v>
      </c>
      <c r="AA471" s="186">
        <v>0</v>
      </c>
      <c r="AB471" s="186">
        <v>0</v>
      </c>
      <c r="AC471" s="187">
        <v>41.9</v>
      </c>
      <c r="AD471" s="187" t="s">
        <v>24</v>
      </c>
      <c r="AE471" s="186">
        <v>0</v>
      </c>
      <c r="AF471" s="187">
        <v>0</v>
      </c>
      <c r="AG471" s="186">
        <v>0</v>
      </c>
      <c r="AH471" s="187">
        <v>0</v>
      </c>
      <c r="AI471" s="186">
        <v>0</v>
      </c>
      <c r="AJ471" s="647">
        <v>0</v>
      </c>
    </row>
    <row r="472" spans="1:36" x14ac:dyDescent="0.2">
      <c r="A472" s="190" t="s">
        <v>82</v>
      </c>
      <c r="B472" s="642">
        <v>5</v>
      </c>
      <c r="C472" s="184">
        <v>0</v>
      </c>
      <c r="D472" s="184">
        <v>5</v>
      </c>
      <c r="E472" s="184">
        <v>0</v>
      </c>
      <c r="F472" s="184">
        <v>0</v>
      </c>
      <c r="G472" s="184">
        <v>0</v>
      </c>
      <c r="H472" s="184">
        <v>0</v>
      </c>
      <c r="I472" s="184">
        <v>0</v>
      </c>
      <c r="J472" s="184">
        <v>0</v>
      </c>
      <c r="K472" s="184">
        <v>0</v>
      </c>
      <c r="L472" s="184">
        <v>0</v>
      </c>
      <c r="M472" s="654" t="s">
        <v>24</v>
      </c>
      <c r="N472" s="669" t="s">
        <v>82</v>
      </c>
      <c r="O472" s="642">
        <v>0</v>
      </c>
      <c r="P472" s="184">
        <v>0</v>
      </c>
      <c r="Q472" s="184">
        <v>0</v>
      </c>
      <c r="R472" s="184">
        <v>0</v>
      </c>
      <c r="S472" s="184">
        <v>0</v>
      </c>
      <c r="T472" s="184">
        <v>0</v>
      </c>
      <c r="U472" s="184">
        <v>0</v>
      </c>
      <c r="V472" s="184">
        <v>3</v>
      </c>
      <c r="W472" s="184">
        <v>1</v>
      </c>
      <c r="X472" s="184">
        <v>0</v>
      </c>
      <c r="Y472" s="184">
        <v>1</v>
      </c>
      <c r="Z472" s="184">
        <v>0</v>
      </c>
      <c r="AA472" s="184">
        <v>0</v>
      </c>
      <c r="AB472" s="184">
        <v>0</v>
      </c>
      <c r="AC472" s="185">
        <v>46.5</v>
      </c>
      <c r="AD472" s="185" t="s">
        <v>24</v>
      </c>
      <c r="AE472" s="184">
        <v>1</v>
      </c>
      <c r="AF472" s="185">
        <v>20</v>
      </c>
      <c r="AG472" s="184">
        <v>0</v>
      </c>
      <c r="AH472" s="185">
        <v>0</v>
      </c>
      <c r="AI472" s="184">
        <v>0</v>
      </c>
      <c r="AJ472" s="643">
        <v>0</v>
      </c>
    </row>
    <row r="473" spans="1:36" x14ac:dyDescent="0.2">
      <c r="A473" s="190" t="s">
        <v>83</v>
      </c>
      <c r="B473" s="642">
        <v>8</v>
      </c>
      <c r="C473" s="184">
        <v>0</v>
      </c>
      <c r="D473" s="184">
        <v>8</v>
      </c>
      <c r="E473" s="184">
        <v>0</v>
      </c>
      <c r="F473" s="184">
        <v>0</v>
      </c>
      <c r="G473" s="184">
        <v>0</v>
      </c>
      <c r="H473" s="184">
        <v>0</v>
      </c>
      <c r="I473" s="184">
        <v>0</v>
      </c>
      <c r="J473" s="184">
        <v>0</v>
      </c>
      <c r="K473" s="184">
        <v>0</v>
      </c>
      <c r="L473" s="184">
        <v>0</v>
      </c>
      <c r="M473" s="654" t="s">
        <v>24</v>
      </c>
      <c r="N473" s="669" t="s">
        <v>83</v>
      </c>
      <c r="O473" s="642">
        <v>0</v>
      </c>
      <c r="P473" s="184">
        <v>0</v>
      </c>
      <c r="Q473" s="184">
        <v>0</v>
      </c>
      <c r="R473" s="184">
        <v>0</v>
      </c>
      <c r="S473" s="184">
        <v>0</v>
      </c>
      <c r="T473" s="184">
        <v>1</v>
      </c>
      <c r="U473" s="184">
        <v>0</v>
      </c>
      <c r="V473" s="184">
        <v>1</v>
      </c>
      <c r="W473" s="184">
        <v>4</v>
      </c>
      <c r="X473" s="184">
        <v>2</v>
      </c>
      <c r="Y473" s="184">
        <v>0</v>
      </c>
      <c r="Z473" s="184">
        <v>0</v>
      </c>
      <c r="AA473" s="184">
        <v>0</v>
      </c>
      <c r="AB473" s="184">
        <v>0</v>
      </c>
      <c r="AC473" s="185">
        <v>45.6</v>
      </c>
      <c r="AD473" s="185" t="s">
        <v>24</v>
      </c>
      <c r="AE473" s="184">
        <v>0</v>
      </c>
      <c r="AF473" s="185">
        <v>0</v>
      </c>
      <c r="AG473" s="184">
        <v>0</v>
      </c>
      <c r="AH473" s="185">
        <v>0</v>
      </c>
      <c r="AI473" s="184">
        <v>0</v>
      </c>
      <c r="AJ473" s="643">
        <v>0</v>
      </c>
    </row>
    <row r="474" spans="1:36" x14ac:dyDescent="0.2">
      <c r="A474" s="190" t="s">
        <v>84</v>
      </c>
      <c r="B474" s="642">
        <v>9</v>
      </c>
      <c r="C474" s="184">
        <v>0</v>
      </c>
      <c r="D474" s="184">
        <v>9</v>
      </c>
      <c r="E474" s="184">
        <v>0</v>
      </c>
      <c r="F474" s="184">
        <v>0</v>
      </c>
      <c r="G474" s="184">
        <v>0</v>
      </c>
      <c r="H474" s="184">
        <v>0</v>
      </c>
      <c r="I474" s="184">
        <v>0</v>
      </c>
      <c r="J474" s="184">
        <v>0</v>
      </c>
      <c r="K474" s="184">
        <v>0</v>
      </c>
      <c r="L474" s="184">
        <v>0</v>
      </c>
      <c r="M474" s="654" t="s">
        <v>24</v>
      </c>
      <c r="N474" s="669" t="s">
        <v>84</v>
      </c>
      <c r="O474" s="642">
        <v>0</v>
      </c>
      <c r="P474" s="184">
        <v>0</v>
      </c>
      <c r="Q474" s="184">
        <v>0</v>
      </c>
      <c r="R474" s="184">
        <v>0</v>
      </c>
      <c r="S474" s="184">
        <v>0</v>
      </c>
      <c r="T474" s="184">
        <v>0</v>
      </c>
      <c r="U474" s="184">
        <v>1</v>
      </c>
      <c r="V474" s="184">
        <v>3</v>
      </c>
      <c r="W474" s="184">
        <v>4</v>
      </c>
      <c r="X474" s="184">
        <v>1</v>
      </c>
      <c r="Y474" s="184">
        <v>0</v>
      </c>
      <c r="Z474" s="184">
        <v>0</v>
      </c>
      <c r="AA474" s="184">
        <v>0</v>
      </c>
      <c r="AB474" s="184">
        <v>0</v>
      </c>
      <c r="AC474" s="185">
        <v>45.9</v>
      </c>
      <c r="AD474" s="185" t="s">
        <v>24</v>
      </c>
      <c r="AE474" s="184">
        <v>0</v>
      </c>
      <c r="AF474" s="185">
        <v>0</v>
      </c>
      <c r="AG474" s="184">
        <v>0</v>
      </c>
      <c r="AH474" s="185">
        <v>0</v>
      </c>
      <c r="AI474" s="184">
        <v>0</v>
      </c>
      <c r="AJ474" s="643">
        <v>0</v>
      </c>
    </row>
    <row r="475" spans="1:36" x14ac:dyDescent="0.2">
      <c r="A475" s="190" t="s">
        <v>51</v>
      </c>
      <c r="B475" s="642">
        <v>3</v>
      </c>
      <c r="C475" s="184">
        <v>0</v>
      </c>
      <c r="D475" s="184">
        <v>2</v>
      </c>
      <c r="E475" s="184">
        <v>0</v>
      </c>
      <c r="F475" s="184">
        <v>1</v>
      </c>
      <c r="G475" s="184">
        <v>0</v>
      </c>
      <c r="H475" s="184">
        <v>0</v>
      </c>
      <c r="I475" s="184">
        <v>0</v>
      </c>
      <c r="J475" s="184">
        <v>0</v>
      </c>
      <c r="K475" s="184">
        <v>0</v>
      </c>
      <c r="L475" s="184">
        <v>0</v>
      </c>
      <c r="M475" s="654" t="s">
        <v>24</v>
      </c>
      <c r="N475" s="669" t="s">
        <v>51</v>
      </c>
      <c r="O475" s="642">
        <v>0</v>
      </c>
      <c r="P475" s="184">
        <v>0</v>
      </c>
      <c r="Q475" s="184">
        <v>0</v>
      </c>
      <c r="R475" s="184">
        <v>0</v>
      </c>
      <c r="S475" s="184">
        <v>0</v>
      </c>
      <c r="T475" s="184">
        <v>2</v>
      </c>
      <c r="U475" s="184">
        <v>1</v>
      </c>
      <c r="V475" s="184">
        <v>0</v>
      </c>
      <c r="W475" s="184">
        <v>0</v>
      </c>
      <c r="X475" s="184">
        <v>0</v>
      </c>
      <c r="Y475" s="184">
        <v>0</v>
      </c>
      <c r="Z475" s="184">
        <v>0</v>
      </c>
      <c r="AA475" s="184">
        <v>0</v>
      </c>
      <c r="AB475" s="184">
        <v>0</v>
      </c>
      <c r="AC475" s="185">
        <v>34.5</v>
      </c>
      <c r="AD475" s="185" t="s">
        <v>24</v>
      </c>
      <c r="AE475" s="184">
        <v>0</v>
      </c>
      <c r="AF475" s="185">
        <v>0</v>
      </c>
      <c r="AG475" s="184">
        <v>0</v>
      </c>
      <c r="AH475" s="185">
        <v>0</v>
      </c>
      <c r="AI475" s="184">
        <v>0</v>
      </c>
      <c r="AJ475" s="643">
        <v>0</v>
      </c>
    </row>
    <row r="476" spans="1:36" x14ac:dyDescent="0.2">
      <c r="A476" s="190" t="s">
        <v>85</v>
      </c>
      <c r="B476" s="642">
        <v>2</v>
      </c>
      <c r="C476" s="184">
        <v>0</v>
      </c>
      <c r="D476" s="184">
        <v>1</v>
      </c>
      <c r="E476" s="184">
        <v>0</v>
      </c>
      <c r="F476" s="184">
        <v>1</v>
      </c>
      <c r="G476" s="184">
        <v>0</v>
      </c>
      <c r="H476" s="184">
        <v>0</v>
      </c>
      <c r="I476" s="184">
        <v>0</v>
      </c>
      <c r="J476" s="184">
        <v>0</v>
      </c>
      <c r="K476" s="184">
        <v>0</v>
      </c>
      <c r="L476" s="184">
        <v>0</v>
      </c>
      <c r="M476" s="654" t="s">
        <v>24</v>
      </c>
      <c r="N476" s="669" t="s">
        <v>85</v>
      </c>
      <c r="O476" s="642">
        <v>0</v>
      </c>
      <c r="P476" s="184">
        <v>0</v>
      </c>
      <c r="Q476" s="184">
        <v>0</v>
      </c>
      <c r="R476" s="184">
        <v>0</v>
      </c>
      <c r="S476" s="184">
        <v>1</v>
      </c>
      <c r="T476" s="184">
        <v>0</v>
      </c>
      <c r="U476" s="184">
        <v>1</v>
      </c>
      <c r="V476" s="184">
        <v>0</v>
      </c>
      <c r="W476" s="184">
        <v>0</v>
      </c>
      <c r="X476" s="184">
        <v>0</v>
      </c>
      <c r="Y476" s="184">
        <v>0</v>
      </c>
      <c r="Z476" s="184">
        <v>0</v>
      </c>
      <c r="AA476" s="184">
        <v>0</v>
      </c>
      <c r="AB476" s="184">
        <v>0</v>
      </c>
      <c r="AC476" s="185">
        <v>32.700000000000003</v>
      </c>
      <c r="AD476" s="185" t="s">
        <v>24</v>
      </c>
      <c r="AE476" s="184">
        <v>0</v>
      </c>
      <c r="AF476" s="185">
        <v>0</v>
      </c>
      <c r="AG476" s="184">
        <v>0</v>
      </c>
      <c r="AH476" s="185">
        <v>0</v>
      </c>
      <c r="AI476" s="184">
        <v>0</v>
      </c>
      <c r="AJ476" s="643">
        <v>0</v>
      </c>
    </row>
    <row r="477" spans="1:36" x14ac:dyDescent="0.2">
      <c r="A477" s="190" t="s">
        <v>86</v>
      </c>
      <c r="B477" s="642">
        <v>8</v>
      </c>
      <c r="C477" s="184">
        <v>0</v>
      </c>
      <c r="D477" s="184">
        <v>7</v>
      </c>
      <c r="E477" s="184">
        <v>0</v>
      </c>
      <c r="F477" s="184">
        <v>1</v>
      </c>
      <c r="G477" s="184">
        <v>0</v>
      </c>
      <c r="H477" s="184">
        <v>0</v>
      </c>
      <c r="I477" s="184">
        <v>0</v>
      </c>
      <c r="J477" s="184">
        <v>0</v>
      </c>
      <c r="K477" s="184">
        <v>0</v>
      </c>
      <c r="L477" s="184">
        <v>0</v>
      </c>
      <c r="M477" s="654" t="s">
        <v>24</v>
      </c>
      <c r="N477" s="669" t="s">
        <v>86</v>
      </c>
      <c r="O477" s="642">
        <v>0</v>
      </c>
      <c r="P477" s="184">
        <v>0</v>
      </c>
      <c r="Q477" s="184">
        <v>0</v>
      </c>
      <c r="R477" s="184">
        <v>0</v>
      </c>
      <c r="S477" s="184">
        <v>0</v>
      </c>
      <c r="T477" s="184">
        <v>0</v>
      </c>
      <c r="U477" s="184">
        <v>4</v>
      </c>
      <c r="V477" s="184">
        <v>4</v>
      </c>
      <c r="W477" s="184">
        <v>0</v>
      </c>
      <c r="X477" s="184">
        <v>0</v>
      </c>
      <c r="Y477" s="184">
        <v>0</v>
      </c>
      <c r="Z477" s="184">
        <v>0</v>
      </c>
      <c r="AA477" s="184">
        <v>0</v>
      </c>
      <c r="AB477" s="184">
        <v>0</v>
      </c>
      <c r="AC477" s="185">
        <v>40.6</v>
      </c>
      <c r="AD477" s="185" t="s">
        <v>24</v>
      </c>
      <c r="AE477" s="184">
        <v>0</v>
      </c>
      <c r="AF477" s="185">
        <v>0</v>
      </c>
      <c r="AG477" s="184">
        <v>0</v>
      </c>
      <c r="AH477" s="185">
        <v>0</v>
      </c>
      <c r="AI477" s="184">
        <v>0</v>
      </c>
      <c r="AJ477" s="643">
        <v>0</v>
      </c>
    </row>
    <row r="478" spans="1:36" x14ac:dyDescent="0.2">
      <c r="A478" s="190" t="s">
        <v>87</v>
      </c>
      <c r="B478" s="642">
        <v>8</v>
      </c>
      <c r="C478" s="184">
        <v>0</v>
      </c>
      <c r="D478" s="184">
        <v>7</v>
      </c>
      <c r="E478" s="184">
        <v>0</v>
      </c>
      <c r="F478" s="184">
        <v>1</v>
      </c>
      <c r="G478" s="184">
        <v>0</v>
      </c>
      <c r="H478" s="184">
        <v>0</v>
      </c>
      <c r="I478" s="184">
        <v>0</v>
      </c>
      <c r="J478" s="184">
        <v>0</v>
      </c>
      <c r="K478" s="184">
        <v>0</v>
      </c>
      <c r="L478" s="184">
        <v>0</v>
      </c>
      <c r="M478" s="654" t="s">
        <v>24</v>
      </c>
      <c r="N478" s="669" t="s">
        <v>87</v>
      </c>
      <c r="O478" s="642">
        <v>0</v>
      </c>
      <c r="P478" s="184">
        <v>0</v>
      </c>
      <c r="Q478" s="184">
        <v>0</v>
      </c>
      <c r="R478" s="184">
        <v>0</v>
      </c>
      <c r="S478" s="184">
        <v>0</v>
      </c>
      <c r="T478" s="184">
        <v>1</v>
      </c>
      <c r="U478" s="184">
        <v>1</v>
      </c>
      <c r="V478" s="184">
        <v>2</v>
      </c>
      <c r="W478" s="184">
        <v>2</v>
      </c>
      <c r="X478" s="184">
        <v>2</v>
      </c>
      <c r="Y478" s="184">
        <v>0</v>
      </c>
      <c r="Z478" s="184">
        <v>0</v>
      </c>
      <c r="AA478" s="184">
        <v>0</v>
      </c>
      <c r="AB478" s="184">
        <v>0</v>
      </c>
      <c r="AC478" s="185">
        <v>44.8</v>
      </c>
      <c r="AD478" s="185" t="s">
        <v>24</v>
      </c>
      <c r="AE478" s="184">
        <v>0</v>
      </c>
      <c r="AF478" s="185">
        <v>0</v>
      </c>
      <c r="AG478" s="184">
        <v>0</v>
      </c>
      <c r="AH478" s="185">
        <v>0</v>
      </c>
      <c r="AI478" s="184">
        <v>0</v>
      </c>
      <c r="AJ478" s="643">
        <v>0</v>
      </c>
    </row>
    <row r="479" spans="1:36" x14ac:dyDescent="0.2">
      <c r="A479" s="190" t="s">
        <v>53</v>
      </c>
      <c r="B479" s="646">
        <v>7</v>
      </c>
      <c r="C479" s="186">
        <v>0</v>
      </c>
      <c r="D479" s="186">
        <v>5</v>
      </c>
      <c r="E479" s="186">
        <v>0</v>
      </c>
      <c r="F479" s="186">
        <v>2</v>
      </c>
      <c r="G479" s="186">
        <v>0</v>
      </c>
      <c r="H479" s="186">
        <v>0</v>
      </c>
      <c r="I479" s="186">
        <v>0</v>
      </c>
      <c r="J479" s="186">
        <v>0</v>
      </c>
      <c r="K479" s="186">
        <v>0</v>
      </c>
      <c r="L479" s="186">
        <v>0</v>
      </c>
      <c r="M479" s="656" t="s">
        <v>24</v>
      </c>
      <c r="N479" s="669" t="s">
        <v>53</v>
      </c>
      <c r="O479" s="646">
        <v>0</v>
      </c>
      <c r="P479" s="186">
        <v>1</v>
      </c>
      <c r="Q479" s="186">
        <v>0</v>
      </c>
      <c r="R479" s="186">
        <v>0</v>
      </c>
      <c r="S479" s="186">
        <v>3</v>
      </c>
      <c r="T479" s="186">
        <v>1</v>
      </c>
      <c r="U479" s="186">
        <v>2</v>
      </c>
      <c r="V479" s="186">
        <v>0</v>
      </c>
      <c r="W479" s="186">
        <v>0</v>
      </c>
      <c r="X479" s="186">
        <v>0</v>
      </c>
      <c r="Y479" s="186">
        <v>0</v>
      </c>
      <c r="Z479" s="186">
        <v>0</v>
      </c>
      <c r="AA479" s="186">
        <v>0</v>
      </c>
      <c r="AB479" s="186">
        <v>0</v>
      </c>
      <c r="AC479" s="187">
        <v>28.4</v>
      </c>
      <c r="AD479" s="187" t="s">
        <v>24</v>
      </c>
      <c r="AE479" s="186">
        <v>0</v>
      </c>
      <c r="AF479" s="187">
        <v>0</v>
      </c>
      <c r="AG479" s="186">
        <v>0</v>
      </c>
      <c r="AH479" s="187">
        <v>0</v>
      </c>
      <c r="AI479" s="186">
        <v>0</v>
      </c>
      <c r="AJ479" s="647">
        <v>0</v>
      </c>
    </row>
    <row r="480" spans="1:36" x14ac:dyDescent="0.2">
      <c r="A480" s="190" t="s">
        <v>88</v>
      </c>
      <c r="B480" s="642">
        <v>3</v>
      </c>
      <c r="C480" s="184">
        <v>0</v>
      </c>
      <c r="D480" s="184">
        <v>3</v>
      </c>
      <c r="E480" s="184">
        <v>0</v>
      </c>
      <c r="F480" s="184">
        <v>0</v>
      </c>
      <c r="G480" s="184">
        <v>0</v>
      </c>
      <c r="H480" s="184">
        <v>0</v>
      </c>
      <c r="I480" s="184">
        <v>0</v>
      </c>
      <c r="J480" s="184">
        <v>0</v>
      </c>
      <c r="K480" s="184">
        <v>0</v>
      </c>
      <c r="L480" s="184">
        <v>0</v>
      </c>
      <c r="M480" s="654" t="s">
        <v>24</v>
      </c>
      <c r="N480" s="669" t="s">
        <v>88</v>
      </c>
      <c r="O480" s="642">
        <v>0</v>
      </c>
      <c r="P480" s="184">
        <v>0</v>
      </c>
      <c r="Q480" s="184">
        <v>0</v>
      </c>
      <c r="R480" s="184">
        <v>0</v>
      </c>
      <c r="S480" s="184">
        <v>0</v>
      </c>
      <c r="T480" s="184">
        <v>2</v>
      </c>
      <c r="U480" s="184">
        <v>1</v>
      </c>
      <c r="V480" s="184">
        <v>0</v>
      </c>
      <c r="W480" s="184">
        <v>0</v>
      </c>
      <c r="X480" s="184">
        <v>0</v>
      </c>
      <c r="Y480" s="184">
        <v>0</v>
      </c>
      <c r="Z480" s="184">
        <v>0</v>
      </c>
      <c r="AA480" s="184">
        <v>0</v>
      </c>
      <c r="AB480" s="184">
        <v>0</v>
      </c>
      <c r="AC480" s="185">
        <v>34.299999999999997</v>
      </c>
      <c r="AD480" s="185" t="s">
        <v>24</v>
      </c>
      <c r="AE480" s="184">
        <v>0</v>
      </c>
      <c r="AF480" s="185">
        <v>0</v>
      </c>
      <c r="AG480" s="184">
        <v>0</v>
      </c>
      <c r="AH480" s="185">
        <v>0</v>
      </c>
      <c r="AI480" s="184">
        <v>0</v>
      </c>
      <c r="AJ480" s="643">
        <v>0</v>
      </c>
    </row>
    <row r="481" spans="1:36" x14ac:dyDescent="0.2">
      <c r="A481" s="190" t="s">
        <v>89</v>
      </c>
      <c r="B481" s="642">
        <v>11</v>
      </c>
      <c r="C481" s="184">
        <v>0</v>
      </c>
      <c r="D481" s="184">
        <v>10</v>
      </c>
      <c r="E481" s="184">
        <v>0</v>
      </c>
      <c r="F481" s="184">
        <v>1</v>
      </c>
      <c r="G481" s="184">
        <v>0</v>
      </c>
      <c r="H481" s="184">
        <v>0</v>
      </c>
      <c r="I481" s="184">
        <v>0</v>
      </c>
      <c r="J481" s="184">
        <v>0</v>
      </c>
      <c r="K481" s="184">
        <v>0</v>
      </c>
      <c r="L481" s="184">
        <v>0</v>
      </c>
      <c r="M481" s="654" t="s">
        <v>24</v>
      </c>
      <c r="N481" s="669" t="s">
        <v>89</v>
      </c>
      <c r="O481" s="642">
        <v>0</v>
      </c>
      <c r="P481" s="184">
        <v>0</v>
      </c>
      <c r="Q481" s="184">
        <v>0</v>
      </c>
      <c r="R481" s="184">
        <v>0</v>
      </c>
      <c r="S481" s="184">
        <v>2</v>
      </c>
      <c r="T481" s="184">
        <v>2</v>
      </c>
      <c r="U481" s="184">
        <v>3</v>
      </c>
      <c r="V481" s="184">
        <v>3</v>
      </c>
      <c r="W481" s="184">
        <v>1</v>
      </c>
      <c r="X481" s="184">
        <v>0</v>
      </c>
      <c r="Y481" s="184">
        <v>0</v>
      </c>
      <c r="Z481" s="184">
        <v>0</v>
      </c>
      <c r="AA481" s="184">
        <v>0</v>
      </c>
      <c r="AB481" s="184">
        <v>0</v>
      </c>
      <c r="AC481" s="185">
        <v>36.4</v>
      </c>
      <c r="AD481" s="185">
        <v>44.8</v>
      </c>
      <c r="AE481" s="184">
        <v>0</v>
      </c>
      <c r="AF481" s="185">
        <v>0</v>
      </c>
      <c r="AG481" s="184">
        <v>0</v>
      </c>
      <c r="AH481" s="185">
        <v>0</v>
      </c>
      <c r="AI481" s="184">
        <v>0</v>
      </c>
      <c r="AJ481" s="643">
        <v>0</v>
      </c>
    </row>
    <row r="482" spans="1:36" x14ac:dyDescent="0.2">
      <c r="A482" s="190" t="s">
        <v>90</v>
      </c>
      <c r="B482" s="642">
        <v>7</v>
      </c>
      <c r="C482" s="184">
        <v>0</v>
      </c>
      <c r="D482" s="184">
        <v>7</v>
      </c>
      <c r="E482" s="184">
        <v>0</v>
      </c>
      <c r="F482" s="184">
        <v>0</v>
      </c>
      <c r="G482" s="184">
        <v>0</v>
      </c>
      <c r="H482" s="184">
        <v>0</v>
      </c>
      <c r="I482" s="184">
        <v>0</v>
      </c>
      <c r="J482" s="184">
        <v>0</v>
      </c>
      <c r="K482" s="184">
        <v>0</v>
      </c>
      <c r="L482" s="184">
        <v>0</v>
      </c>
      <c r="M482" s="654" t="s">
        <v>24</v>
      </c>
      <c r="N482" s="669" t="s">
        <v>90</v>
      </c>
      <c r="O482" s="642">
        <v>0</v>
      </c>
      <c r="P482" s="184">
        <v>0</v>
      </c>
      <c r="Q482" s="184">
        <v>1</v>
      </c>
      <c r="R482" s="184">
        <v>0</v>
      </c>
      <c r="S482" s="184">
        <v>0</v>
      </c>
      <c r="T482" s="184">
        <v>2</v>
      </c>
      <c r="U482" s="184">
        <v>2</v>
      </c>
      <c r="V482" s="184">
        <v>1</v>
      </c>
      <c r="W482" s="184">
        <v>0</v>
      </c>
      <c r="X482" s="184">
        <v>1</v>
      </c>
      <c r="Y482" s="184">
        <v>0</v>
      </c>
      <c r="Z482" s="184">
        <v>0</v>
      </c>
      <c r="AA482" s="184">
        <v>0</v>
      </c>
      <c r="AB482" s="184">
        <v>0</v>
      </c>
      <c r="AC482" s="185">
        <v>37.1</v>
      </c>
      <c r="AD482" s="185" t="s">
        <v>24</v>
      </c>
      <c r="AE482" s="184">
        <v>0</v>
      </c>
      <c r="AF482" s="185">
        <v>0</v>
      </c>
      <c r="AG482" s="184">
        <v>0</v>
      </c>
      <c r="AH482" s="185">
        <v>0</v>
      </c>
      <c r="AI482" s="184">
        <v>0</v>
      </c>
      <c r="AJ482" s="643">
        <v>0</v>
      </c>
    </row>
    <row r="483" spans="1:36" x14ac:dyDescent="0.2">
      <c r="A483" s="190" t="s">
        <v>55</v>
      </c>
      <c r="B483" s="642">
        <v>15</v>
      </c>
      <c r="C483" s="184">
        <v>0</v>
      </c>
      <c r="D483" s="184">
        <v>14</v>
      </c>
      <c r="E483" s="184">
        <v>0</v>
      </c>
      <c r="F483" s="184">
        <v>1</v>
      </c>
      <c r="G483" s="184">
        <v>0</v>
      </c>
      <c r="H483" s="184">
        <v>0</v>
      </c>
      <c r="I483" s="184">
        <v>0</v>
      </c>
      <c r="J483" s="184">
        <v>0</v>
      </c>
      <c r="K483" s="184">
        <v>0</v>
      </c>
      <c r="L483" s="184">
        <v>0</v>
      </c>
      <c r="M483" s="654" t="s">
        <v>24</v>
      </c>
      <c r="N483" s="669" t="s">
        <v>55</v>
      </c>
      <c r="O483" s="642">
        <v>0</v>
      </c>
      <c r="P483" s="184">
        <v>0</v>
      </c>
      <c r="Q483" s="184">
        <v>0</v>
      </c>
      <c r="R483" s="184">
        <v>0</v>
      </c>
      <c r="S483" s="184">
        <v>4</v>
      </c>
      <c r="T483" s="184">
        <v>4</v>
      </c>
      <c r="U483" s="184">
        <v>3</v>
      </c>
      <c r="V483" s="184">
        <v>4</v>
      </c>
      <c r="W483" s="184">
        <v>0</v>
      </c>
      <c r="X483" s="184">
        <v>0</v>
      </c>
      <c r="Y483" s="184">
        <v>0</v>
      </c>
      <c r="Z483" s="184">
        <v>0</v>
      </c>
      <c r="AA483" s="184">
        <v>0</v>
      </c>
      <c r="AB483" s="184">
        <v>0</v>
      </c>
      <c r="AC483" s="185">
        <v>34.700000000000003</v>
      </c>
      <c r="AD483" s="185">
        <v>41.4</v>
      </c>
      <c r="AE483" s="184">
        <v>0</v>
      </c>
      <c r="AF483" s="185">
        <v>0</v>
      </c>
      <c r="AG483" s="184">
        <v>0</v>
      </c>
      <c r="AH483" s="185">
        <v>0</v>
      </c>
      <c r="AI483" s="184">
        <v>0</v>
      </c>
      <c r="AJ483" s="643">
        <v>0</v>
      </c>
    </row>
    <row r="484" spans="1:36" x14ac:dyDescent="0.2">
      <c r="A484" s="190" t="s">
        <v>91</v>
      </c>
      <c r="B484" s="642">
        <v>9</v>
      </c>
      <c r="C484" s="184">
        <v>0</v>
      </c>
      <c r="D484" s="184">
        <v>6</v>
      </c>
      <c r="E484" s="184">
        <v>0</v>
      </c>
      <c r="F484" s="184">
        <v>3</v>
      </c>
      <c r="G484" s="184">
        <v>0</v>
      </c>
      <c r="H484" s="184">
        <v>0</v>
      </c>
      <c r="I484" s="184">
        <v>0</v>
      </c>
      <c r="J484" s="184">
        <v>0</v>
      </c>
      <c r="K484" s="184">
        <v>0</v>
      </c>
      <c r="L484" s="184">
        <v>0</v>
      </c>
      <c r="M484" s="654" t="s">
        <v>24</v>
      </c>
      <c r="N484" s="669" t="s">
        <v>91</v>
      </c>
      <c r="O484" s="642">
        <v>0</v>
      </c>
      <c r="P484" s="184">
        <v>0</v>
      </c>
      <c r="Q484" s="184">
        <v>0</v>
      </c>
      <c r="R484" s="184">
        <v>1</v>
      </c>
      <c r="S484" s="184">
        <v>0</v>
      </c>
      <c r="T484" s="184">
        <v>1</v>
      </c>
      <c r="U484" s="184">
        <v>3</v>
      </c>
      <c r="V484" s="184">
        <v>1</v>
      </c>
      <c r="W484" s="184">
        <v>1</v>
      </c>
      <c r="X484" s="184">
        <v>2</v>
      </c>
      <c r="Y484" s="184">
        <v>0</v>
      </c>
      <c r="Z484" s="184">
        <v>0</v>
      </c>
      <c r="AA484" s="184">
        <v>0</v>
      </c>
      <c r="AB484" s="184">
        <v>0</v>
      </c>
      <c r="AC484" s="185">
        <v>40.4</v>
      </c>
      <c r="AD484" s="185" t="s">
        <v>24</v>
      </c>
      <c r="AE484" s="184">
        <v>0</v>
      </c>
      <c r="AF484" s="185">
        <v>0</v>
      </c>
      <c r="AG484" s="184">
        <v>0</v>
      </c>
      <c r="AH484" s="185">
        <v>0</v>
      </c>
      <c r="AI484" s="184">
        <v>0</v>
      </c>
      <c r="AJ484" s="643">
        <v>0</v>
      </c>
    </row>
    <row r="485" spans="1:36" x14ac:dyDescent="0.2">
      <c r="A485" s="190" t="s">
        <v>92</v>
      </c>
      <c r="B485" s="642">
        <v>8</v>
      </c>
      <c r="C485" s="184">
        <v>1</v>
      </c>
      <c r="D485" s="184">
        <v>7</v>
      </c>
      <c r="E485" s="184">
        <v>0</v>
      </c>
      <c r="F485" s="184">
        <v>0</v>
      </c>
      <c r="G485" s="184">
        <v>0</v>
      </c>
      <c r="H485" s="184">
        <v>0</v>
      </c>
      <c r="I485" s="184">
        <v>0</v>
      </c>
      <c r="J485" s="184">
        <v>0</v>
      </c>
      <c r="K485" s="184">
        <v>0</v>
      </c>
      <c r="L485" s="184">
        <v>0</v>
      </c>
      <c r="M485" s="654" t="s">
        <v>24</v>
      </c>
      <c r="N485" s="669" t="s">
        <v>92</v>
      </c>
      <c r="O485" s="642">
        <v>0</v>
      </c>
      <c r="P485" s="184">
        <v>0</v>
      </c>
      <c r="Q485" s="184">
        <v>0</v>
      </c>
      <c r="R485" s="184">
        <v>1</v>
      </c>
      <c r="S485" s="184">
        <v>0</v>
      </c>
      <c r="T485" s="184">
        <v>0</v>
      </c>
      <c r="U485" s="184">
        <v>2</v>
      </c>
      <c r="V485" s="184">
        <v>2</v>
      </c>
      <c r="W485" s="184">
        <v>0</v>
      </c>
      <c r="X485" s="184">
        <v>1</v>
      </c>
      <c r="Y485" s="184">
        <v>1</v>
      </c>
      <c r="Z485" s="184">
        <v>1</v>
      </c>
      <c r="AA485" s="184">
        <v>0</v>
      </c>
      <c r="AB485" s="184">
        <v>0</v>
      </c>
      <c r="AC485" s="185">
        <v>47.5</v>
      </c>
      <c r="AD485" s="185" t="s">
        <v>24</v>
      </c>
      <c r="AE485" s="184">
        <v>2</v>
      </c>
      <c r="AF485" s="185">
        <v>25</v>
      </c>
      <c r="AG485" s="184">
        <v>1</v>
      </c>
      <c r="AH485" s="185">
        <v>12.5</v>
      </c>
      <c r="AI485" s="184">
        <v>1</v>
      </c>
      <c r="AJ485" s="643">
        <v>12.5</v>
      </c>
    </row>
    <row r="486" spans="1:36" x14ac:dyDescent="0.2">
      <c r="A486" s="190" t="s">
        <v>93</v>
      </c>
      <c r="B486" s="642">
        <v>15</v>
      </c>
      <c r="C486" s="184">
        <v>2</v>
      </c>
      <c r="D486" s="184">
        <v>11</v>
      </c>
      <c r="E486" s="184">
        <v>0</v>
      </c>
      <c r="F486" s="184">
        <v>2</v>
      </c>
      <c r="G486" s="184">
        <v>0</v>
      </c>
      <c r="H486" s="184">
        <v>0</v>
      </c>
      <c r="I486" s="184">
        <v>0</v>
      </c>
      <c r="J486" s="184">
        <v>0</v>
      </c>
      <c r="K486" s="184">
        <v>0</v>
      </c>
      <c r="L486" s="184">
        <v>0</v>
      </c>
      <c r="M486" s="654" t="s">
        <v>24</v>
      </c>
      <c r="N486" s="669" t="s">
        <v>93</v>
      </c>
      <c r="O486" s="642">
        <v>0</v>
      </c>
      <c r="P486" s="184">
        <v>0</v>
      </c>
      <c r="Q486" s="184">
        <v>0</v>
      </c>
      <c r="R486" s="184">
        <v>3</v>
      </c>
      <c r="S486" s="184">
        <v>0</v>
      </c>
      <c r="T486" s="184">
        <v>0</v>
      </c>
      <c r="U486" s="184">
        <v>2</v>
      </c>
      <c r="V486" s="184">
        <v>4</v>
      </c>
      <c r="W486" s="184">
        <v>4</v>
      </c>
      <c r="X486" s="184">
        <v>2</v>
      </c>
      <c r="Y486" s="184">
        <v>0</v>
      </c>
      <c r="Z486" s="184">
        <v>0</v>
      </c>
      <c r="AA486" s="184">
        <v>0</v>
      </c>
      <c r="AB486" s="184">
        <v>0</v>
      </c>
      <c r="AC486" s="185">
        <v>41.2</v>
      </c>
      <c r="AD486" s="185">
        <v>52.4</v>
      </c>
      <c r="AE486" s="184">
        <v>0</v>
      </c>
      <c r="AF486" s="185">
        <v>0</v>
      </c>
      <c r="AG486" s="184">
        <v>0</v>
      </c>
      <c r="AH486" s="185">
        <v>0</v>
      </c>
      <c r="AI486" s="184">
        <v>0</v>
      </c>
      <c r="AJ486" s="643">
        <v>0</v>
      </c>
    </row>
    <row r="487" spans="1:36" x14ac:dyDescent="0.2">
      <c r="A487" s="190" t="s">
        <v>57</v>
      </c>
      <c r="B487" s="642">
        <v>8</v>
      </c>
      <c r="C487" s="184">
        <v>1</v>
      </c>
      <c r="D487" s="184">
        <v>6</v>
      </c>
      <c r="E487" s="184">
        <v>0</v>
      </c>
      <c r="F487" s="184">
        <v>0</v>
      </c>
      <c r="G487" s="184">
        <v>0</v>
      </c>
      <c r="H487" s="184">
        <v>1</v>
      </c>
      <c r="I487" s="184">
        <v>0</v>
      </c>
      <c r="J487" s="184">
        <v>0</v>
      </c>
      <c r="K487" s="184">
        <v>0</v>
      </c>
      <c r="L487" s="184">
        <v>0</v>
      </c>
      <c r="M487" s="654" t="s">
        <v>24</v>
      </c>
      <c r="N487" s="669" t="s">
        <v>57</v>
      </c>
      <c r="O487" s="642">
        <v>0</v>
      </c>
      <c r="P487" s="184">
        <v>0</v>
      </c>
      <c r="Q487" s="184">
        <v>0</v>
      </c>
      <c r="R487" s="184">
        <v>0</v>
      </c>
      <c r="S487" s="184">
        <v>0</v>
      </c>
      <c r="T487" s="184">
        <v>3</v>
      </c>
      <c r="U487" s="184">
        <v>3</v>
      </c>
      <c r="V487" s="184">
        <v>1</v>
      </c>
      <c r="W487" s="184">
        <v>0</v>
      </c>
      <c r="X487" s="184">
        <v>1</v>
      </c>
      <c r="Y487" s="184">
        <v>0</v>
      </c>
      <c r="Z487" s="184">
        <v>0</v>
      </c>
      <c r="AA487" s="184">
        <v>0</v>
      </c>
      <c r="AB487" s="184">
        <v>0</v>
      </c>
      <c r="AC487" s="185">
        <v>38.700000000000003</v>
      </c>
      <c r="AD487" s="185" t="s">
        <v>24</v>
      </c>
      <c r="AE487" s="184">
        <v>0</v>
      </c>
      <c r="AF487" s="185">
        <v>0</v>
      </c>
      <c r="AG487" s="184">
        <v>0</v>
      </c>
      <c r="AH487" s="185">
        <v>0</v>
      </c>
      <c r="AI487" s="184">
        <v>0</v>
      </c>
      <c r="AJ487" s="643">
        <v>0</v>
      </c>
    </row>
    <row r="488" spans="1:36" x14ac:dyDescent="0.2">
      <c r="A488" s="190" t="s">
        <v>94</v>
      </c>
      <c r="B488" s="642">
        <v>7</v>
      </c>
      <c r="C488" s="184">
        <v>0</v>
      </c>
      <c r="D488" s="184">
        <v>7</v>
      </c>
      <c r="E488" s="184">
        <v>0</v>
      </c>
      <c r="F488" s="184">
        <v>0</v>
      </c>
      <c r="G488" s="184">
        <v>0</v>
      </c>
      <c r="H488" s="184">
        <v>0</v>
      </c>
      <c r="I488" s="184">
        <v>0</v>
      </c>
      <c r="J488" s="184">
        <v>0</v>
      </c>
      <c r="K488" s="184">
        <v>0</v>
      </c>
      <c r="L488" s="184">
        <v>0</v>
      </c>
      <c r="M488" s="654" t="s">
        <v>24</v>
      </c>
      <c r="N488" s="669" t="s">
        <v>94</v>
      </c>
      <c r="O488" s="642">
        <v>0</v>
      </c>
      <c r="P488" s="184">
        <v>0</v>
      </c>
      <c r="Q488" s="184">
        <v>0</v>
      </c>
      <c r="R488" s="184">
        <v>0</v>
      </c>
      <c r="S488" s="184">
        <v>0</v>
      </c>
      <c r="T488" s="184">
        <v>1</v>
      </c>
      <c r="U488" s="184">
        <v>1</v>
      </c>
      <c r="V488" s="184">
        <v>3</v>
      </c>
      <c r="W488" s="184">
        <v>1</v>
      </c>
      <c r="X488" s="184">
        <v>0</v>
      </c>
      <c r="Y488" s="184">
        <v>1</v>
      </c>
      <c r="Z488" s="184">
        <v>0</v>
      </c>
      <c r="AA488" s="184">
        <v>0</v>
      </c>
      <c r="AB488" s="184">
        <v>0</v>
      </c>
      <c r="AC488" s="185">
        <v>43.3</v>
      </c>
      <c r="AD488" s="185" t="s">
        <v>24</v>
      </c>
      <c r="AE488" s="184">
        <v>1</v>
      </c>
      <c r="AF488" s="185">
        <v>14.285714285714285</v>
      </c>
      <c r="AG488" s="184">
        <v>0</v>
      </c>
      <c r="AH488" s="185">
        <v>0</v>
      </c>
      <c r="AI488" s="184">
        <v>0</v>
      </c>
      <c r="AJ488" s="643">
        <v>0</v>
      </c>
    </row>
    <row r="489" spans="1:36" x14ac:dyDescent="0.2">
      <c r="A489" s="190" t="s">
        <v>95</v>
      </c>
      <c r="B489" s="642">
        <v>9</v>
      </c>
      <c r="C489" s="184">
        <v>0</v>
      </c>
      <c r="D489" s="184">
        <v>9</v>
      </c>
      <c r="E489" s="184">
        <v>0</v>
      </c>
      <c r="F489" s="184">
        <v>0</v>
      </c>
      <c r="G489" s="184">
        <v>0</v>
      </c>
      <c r="H489" s="184">
        <v>0</v>
      </c>
      <c r="I489" s="184">
        <v>0</v>
      </c>
      <c r="J489" s="184">
        <v>0</v>
      </c>
      <c r="K489" s="184">
        <v>0</v>
      </c>
      <c r="L489" s="184">
        <v>0</v>
      </c>
      <c r="M489" s="654" t="s">
        <v>24</v>
      </c>
      <c r="N489" s="669" t="s">
        <v>95</v>
      </c>
      <c r="O489" s="642">
        <v>0</v>
      </c>
      <c r="P489" s="184">
        <v>0</v>
      </c>
      <c r="Q489" s="184">
        <v>0</v>
      </c>
      <c r="R489" s="184">
        <v>0</v>
      </c>
      <c r="S489" s="184">
        <v>0</v>
      </c>
      <c r="T489" s="184">
        <v>1</v>
      </c>
      <c r="U489" s="184">
        <v>0</v>
      </c>
      <c r="V489" s="184">
        <v>6</v>
      </c>
      <c r="W489" s="184">
        <v>2</v>
      </c>
      <c r="X489" s="184">
        <v>0</v>
      </c>
      <c r="Y489" s="184">
        <v>0</v>
      </c>
      <c r="Z489" s="184">
        <v>0</v>
      </c>
      <c r="AA489" s="184">
        <v>0</v>
      </c>
      <c r="AB489" s="184">
        <v>0</v>
      </c>
      <c r="AC489" s="185">
        <v>41.7</v>
      </c>
      <c r="AD489" s="185" t="s">
        <v>24</v>
      </c>
      <c r="AE489" s="184">
        <v>0</v>
      </c>
      <c r="AF489" s="185">
        <v>0</v>
      </c>
      <c r="AG489" s="184">
        <v>0</v>
      </c>
      <c r="AH489" s="185">
        <v>0</v>
      </c>
      <c r="AI489" s="184">
        <v>0</v>
      </c>
      <c r="AJ489" s="643">
        <v>0</v>
      </c>
    </row>
    <row r="490" spans="1:36" x14ac:dyDescent="0.2">
      <c r="A490" s="190" t="s">
        <v>96</v>
      </c>
      <c r="B490" s="642">
        <v>13</v>
      </c>
      <c r="C490" s="184">
        <v>0</v>
      </c>
      <c r="D490" s="184">
        <v>12</v>
      </c>
      <c r="E490" s="184">
        <v>0</v>
      </c>
      <c r="F490" s="184">
        <v>1</v>
      </c>
      <c r="G490" s="184">
        <v>0</v>
      </c>
      <c r="H490" s="184">
        <v>0</v>
      </c>
      <c r="I490" s="184">
        <v>0</v>
      </c>
      <c r="J490" s="184">
        <v>0</v>
      </c>
      <c r="K490" s="184">
        <v>0</v>
      </c>
      <c r="L490" s="184">
        <v>0</v>
      </c>
      <c r="M490" s="654" t="s">
        <v>24</v>
      </c>
      <c r="N490" s="669" t="s">
        <v>96</v>
      </c>
      <c r="O490" s="642">
        <v>0</v>
      </c>
      <c r="P490" s="184">
        <v>0</v>
      </c>
      <c r="Q490" s="184">
        <v>0</v>
      </c>
      <c r="R490" s="184">
        <v>0</v>
      </c>
      <c r="S490" s="184">
        <v>0</v>
      </c>
      <c r="T490" s="184">
        <v>3</v>
      </c>
      <c r="U490" s="184">
        <v>6</v>
      </c>
      <c r="V490" s="184">
        <v>3</v>
      </c>
      <c r="W490" s="184">
        <v>1</v>
      </c>
      <c r="X490" s="184">
        <v>0</v>
      </c>
      <c r="Y490" s="184">
        <v>0</v>
      </c>
      <c r="Z490" s="184">
        <v>0</v>
      </c>
      <c r="AA490" s="184">
        <v>0</v>
      </c>
      <c r="AB490" s="184">
        <v>0</v>
      </c>
      <c r="AC490" s="185">
        <v>38.6</v>
      </c>
      <c r="AD490" s="185">
        <v>44.5</v>
      </c>
      <c r="AE490" s="184">
        <v>0</v>
      </c>
      <c r="AF490" s="185">
        <v>0</v>
      </c>
      <c r="AG490" s="184">
        <v>0</v>
      </c>
      <c r="AH490" s="185">
        <v>0</v>
      </c>
      <c r="AI490" s="184">
        <v>0</v>
      </c>
      <c r="AJ490" s="643">
        <v>0</v>
      </c>
    </row>
    <row r="491" spans="1:36" x14ac:dyDescent="0.2">
      <c r="A491" s="190" t="s">
        <v>58</v>
      </c>
      <c r="B491" s="642">
        <v>13</v>
      </c>
      <c r="C491" s="184">
        <v>1</v>
      </c>
      <c r="D491" s="184">
        <v>11</v>
      </c>
      <c r="E491" s="184">
        <v>0</v>
      </c>
      <c r="F491" s="184">
        <v>0</v>
      </c>
      <c r="G491" s="184">
        <v>0</v>
      </c>
      <c r="H491" s="184">
        <v>0</v>
      </c>
      <c r="I491" s="184">
        <v>0</v>
      </c>
      <c r="J491" s="184">
        <v>1</v>
      </c>
      <c r="K491" s="184">
        <v>0</v>
      </c>
      <c r="L491" s="184">
        <v>0</v>
      </c>
      <c r="M491" s="654" t="s">
        <v>24</v>
      </c>
      <c r="N491" s="669" t="s">
        <v>58</v>
      </c>
      <c r="O491" s="642">
        <v>0</v>
      </c>
      <c r="P491" s="184">
        <v>0</v>
      </c>
      <c r="Q491" s="184">
        <v>0</v>
      </c>
      <c r="R491" s="184">
        <v>1</v>
      </c>
      <c r="S491" s="184">
        <v>1</v>
      </c>
      <c r="T491" s="184">
        <v>2</v>
      </c>
      <c r="U491" s="184">
        <v>1</v>
      </c>
      <c r="V491" s="184">
        <v>5</v>
      </c>
      <c r="W491" s="184">
        <v>2</v>
      </c>
      <c r="X491" s="184">
        <v>1</v>
      </c>
      <c r="Y491" s="184">
        <v>0</v>
      </c>
      <c r="Z491" s="184">
        <v>0</v>
      </c>
      <c r="AA491" s="184">
        <v>0</v>
      </c>
      <c r="AB491" s="184">
        <v>0</v>
      </c>
      <c r="AC491" s="185">
        <v>39.299999999999997</v>
      </c>
      <c r="AD491" s="185">
        <v>48.8</v>
      </c>
      <c r="AE491" s="184">
        <v>0</v>
      </c>
      <c r="AF491" s="185">
        <v>0</v>
      </c>
      <c r="AG491" s="184">
        <v>0</v>
      </c>
      <c r="AH491" s="185">
        <v>0</v>
      </c>
      <c r="AI491" s="184">
        <v>0</v>
      </c>
      <c r="AJ491" s="643">
        <v>0</v>
      </c>
    </row>
    <row r="492" spans="1:36" x14ac:dyDescent="0.2">
      <c r="A492" s="190" t="s">
        <v>97</v>
      </c>
      <c r="B492" s="642">
        <v>9</v>
      </c>
      <c r="C492" s="184">
        <v>1</v>
      </c>
      <c r="D492" s="184">
        <v>7</v>
      </c>
      <c r="E492" s="184">
        <v>0</v>
      </c>
      <c r="F492" s="184">
        <v>1</v>
      </c>
      <c r="G492" s="184">
        <v>0</v>
      </c>
      <c r="H492" s="184">
        <v>0</v>
      </c>
      <c r="I492" s="184">
        <v>0</v>
      </c>
      <c r="J492" s="184">
        <v>0</v>
      </c>
      <c r="K492" s="184">
        <v>0</v>
      </c>
      <c r="L492" s="184">
        <v>0</v>
      </c>
      <c r="M492" s="654" t="s">
        <v>24</v>
      </c>
      <c r="N492" s="669" t="s">
        <v>97</v>
      </c>
      <c r="O492" s="642">
        <v>0</v>
      </c>
      <c r="P492" s="184">
        <v>0</v>
      </c>
      <c r="Q492" s="184">
        <v>0</v>
      </c>
      <c r="R492" s="184">
        <v>1</v>
      </c>
      <c r="S492" s="184">
        <v>0</v>
      </c>
      <c r="T492" s="184">
        <v>0</v>
      </c>
      <c r="U492" s="184">
        <v>5</v>
      </c>
      <c r="V492" s="184">
        <v>1</v>
      </c>
      <c r="W492" s="184">
        <v>2</v>
      </c>
      <c r="X492" s="184">
        <v>0</v>
      </c>
      <c r="Y492" s="184">
        <v>0</v>
      </c>
      <c r="Z492" s="184">
        <v>0</v>
      </c>
      <c r="AA492" s="184">
        <v>0</v>
      </c>
      <c r="AB492" s="184">
        <v>0</v>
      </c>
      <c r="AC492" s="185">
        <v>38.4</v>
      </c>
      <c r="AD492" s="185" t="s">
        <v>24</v>
      </c>
      <c r="AE492" s="184">
        <v>0</v>
      </c>
      <c r="AF492" s="185">
        <v>0</v>
      </c>
      <c r="AG492" s="184">
        <v>0</v>
      </c>
      <c r="AH492" s="185">
        <v>0</v>
      </c>
      <c r="AI492" s="184">
        <v>0</v>
      </c>
      <c r="AJ492" s="643">
        <v>0</v>
      </c>
    </row>
    <row r="493" spans="1:36" x14ac:dyDescent="0.2">
      <c r="A493" s="190" t="s">
        <v>98</v>
      </c>
      <c r="B493" s="642">
        <v>14</v>
      </c>
      <c r="C493" s="184">
        <v>0</v>
      </c>
      <c r="D493" s="184">
        <v>14</v>
      </c>
      <c r="E493" s="184">
        <v>0</v>
      </c>
      <c r="F493" s="184">
        <v>0</v>
      </c>
      <c r="G493" s="184">
        <v>0</v>
      </c>
      <c r="H493" s="184">
        <v>0</v>
      </c>
      <c r="I493" s="184">
        <v>0</v>
      </c>
      <c r="J493" s="184">
        <v>0</v>
      </c>
      <c r="K493" s="184">
        <v>0</v>
      </c>
      <c r="L493" s="184">
        <v>0</v>
      </c>
      <c r="M493" s="654" t="s">
        <v>24</v>
      </c>
      <c r="N493" s="669" t="s">
        <v>98</v>
      </c>
      <c r="O493" s="642">
        <v>0</v>
      </c>
      <c r="P493" s="184">
        <v>0</v>
      </c>
      <c r="Q493" s="184">
        <v>0</v>
      </c>
      <c r="R493" s="184">
        <v>0</v>
      </c>
      <c r="S493" s="184">
        <v>0</v>
      </c>
      <c r="T493" s="184">
        <v>1</v>
      </c>
      <c r="U493" s="184">
        <v>6</v>
      </c>
      <c r="V493" s="184">
        <v>3</v>
      </c>
      <c r="W493" s="184">
        <v>2</v>
      </c>
      <c r="X493" s="184">
        <v>2</v>
      </c>
      <c r="Y493" s="184">
        <v>0</v>
      </c>
      <c r="Z493" s="184">
        <v>0</v>
      </c>
      <c r="AA493" s="184">
        <v>0</v>
      </c>
      <c r="AB493" s="184">
        <v>0</v>
      </c>
      <c r="AC493" s="185">
        <v>42.1</v>
      </c>
      <c r="AD493" s="185">
        <v>50.4</v>
      </c>
      <c r="AE493" s="184">
        <v>0</v>
      </c>
      <c r="AF493" s="185">
        <v>0</v>
      </c>
      <c r="AG493" s="184">
        <v>0</v>
      </c>
      <c r="AH493" s="185">
        <v>0</v>
      </c>
      <c r="AI493" s="184">
        <v>0</v>
      </c>
      <c r="AJ493" s="643">
        <v>0</v>
      </c>
    </row>
    <row r="494" spans="1:36" x14ac:dyDescent="0.2">
      <c r="A494" s="190" t="s">
        <v>99</v>
      </c>
      <c r="B494" s="642">
        <v>20</v>
      </c>
      <c r="C494" s="184">
        <v>1</v>
      </c>
      <c r="D494" s="184">
        <v>15</v>
      </c>
      <c r="E494" s="184">
        <v>0</v>
      </c>
      <c r="F494" s="184">
        <v>4</v>
      </c>
      <c r="G494" s="184">
        <v>0</v>
      </c>
      <c r="H494" s="184">
        <v>0</v>
      </c>
      <c r="I494" s="184">
        <v>0</v>
      </c>
      <c r="J494" s="184">
        <v>0</v>
      </c>
      <c r="K494" s="184">
        <v>0</v>
      </c>
      <c r="L494" s="184">
        <v>0</v>
      </c>
      <c r="M494" s="654" t="s">
        <v>24</v>
      </c>
      <c r="N494" s="669" t="s">
        <v>99</v>
      </c>
      <c r="O494" s="642">
        <v>0</v>
      </c>
      <c r="P494" s="184">
        <v>0</v>
      </c>
      <c r="Q494" s="184">
        <v>1</v>
      </c>
      <c r="R494" s="184">
        <v>1</v>
      </c>
      <c r="S494" s="184">
        <v>0</v>
      </c>
      <c r="T494" s="184">
        <v>6</v>
      </c>
      <c r="U494" s="184">
        <v>5</v>
      </c>
      <c r="V494" s="184">
        <v>5</v>
      </c>
      <c r="W494" s="184">
        <v>1</v>
      </c>
      <c r="X494" s="184">
        <v>1</v>
      </c>
      <c r="Y494" s="184">
        <v>0</v>
      </c>
      <c r="Z494" s="184">
        <v>0</v>
      </c>
      <c r="AA494" s="184">
        <v>0</v>
      </c>
      <c r="AB494" s="184">
        <v>0</v>
      </c>
      <c r="AC494" s="185">
        <v>36.9</v>
      </c>
      <c r="AD494" s="185">
        <v>44.9</v>
      </c>
      <c r="AE494" s="184">
        <v>0</v>
      </c>
      <c r="AF494" s="185">
        <v>0</v>
      </c>
      <c r="AG494" s="184">
        <v>0</v>
      </c>
      <c r="AH494" s="185">
        <v>0</v>
      </c>
      <c r="AI494" s="184">
        <v>0</v>
      </c>
      <c r="AJ494" s="643">
        <v>0</v>
      </c>
    </row>
    <row r="495" spans="1:36" x14ac:dyDescent="0.2">
      <c r="A495" s="190" t="s">
        <v>60</v>
      </c>
      <c r="B495" s="642">
        <v>12</v>
      </c>
      <c r="C495" s="184">
        <v>0</v>
      </c>
      <c r="D495" s="184">
        <v>12</v>
      </c>
      <c r="E495" s="184">
        <v>0</v>
      </c>
      <c r="F495" s="184">
        <v>0</v>
      </c>
      <c r="G495" s="184">
        <v>0</v>
      </c>
      <c r="H495" s="184">
        <v>0</v>
      </c>
      <c r="I495" s="184">
        <v>0</v>
      </c>
      <c r="J495" s="184">
        <v>0</v>
      </c>
      <c r="K495" s="184">
        <v>0</v>
      </c>
      <c r="L495" s="184">
        <v>0</v>
      </c>
      <c r="M495" s="654" t="s">
        <v>24</v>
      </c>
      <c r="N495" s="669" t="s">
        <v>60</v>
      </c>
      <c r="O495" s="642">
        <v>0</v>
      </c>
      <c r="P495" s="184">
        <v>0</v>
      </c>
      <c r="Q495" s="184">
        <v>0</v>
      </c>
      <c r="R495" s="184">
        <v>0</v>
      </c>
      <c r="S495" s="184">
        <v>0</v>
      </c>
      <c r="T495" s="184">
        <v>1</v>
      </c>
      <c r="U495" s="184">
        <v>5</v>
      </c>
      <c r="V495" s="184">
        <v>3</v>
      </c>
      <c r="W495" s="184">
        <v>2</v>
      </c>
      <c r="X495" s="184">
        <v>1</v>
      </c>
      <c r="Y495" s="184">
        <v>0</v>
      </c>
      <c r="Z495" s="184">
        <v>0</v>
      </c>
      <c r="AA495" s="184">
        <v>0</v>
      </c>
      <c r="AB495" s="184">
        <v>0</v>
      </c>
      <c r="AC495" s="185">
        <v>41.5</v>
      </c>
      <c r="AD495" s="185">
        <v>46.3</v>
      </c>
      <c r="AE495" s="184">
        <v>0</v>
      </c>
      <c r="AF495" s="185">
        <v>0</v>
      </c>
      <c r="AG495" s="184">
        <v>0</v>
      </c>
      <c r="AH495" s="185">
        <v>0</v>
      </c>
      <c r="AI495" s="184">
        <v>0</v>
      </c>
      <c r="AJ495" s="643">
        <v>0</v>
      </c>
    </row>
    <row r="496" spans="1:36" x14ac:dyDescent="0.2">
      <c r="A496" s="190" t="s">
        <v>100</v>
      </c>
      <c r="B496" s="642">
        <v>9</v>
      </c>
      <c r="C496" s="184">
        <v>0</v>
      </c>
      <c r="D496" s="184">
        <v>9</v>
      </c>
      <c r="E496" s="184">
        <v>0</v>
      </c>
      <c r="F496" s="184">
        <v>0</v>
      </c>
      <c r="G496" s="184">
        <v>0</v>
      </c>
      <c r="H496" s="184">
        <v>0</v>
      </c>
      <c r="I496" s="184">
        <v>0</v>
      </c>
      <c r="J496" s="184">
        <v>0</v>
      </c>
      <c r="K496" s="184">
        <v>0</v>
      </c>
      <c r="L496" s="184">
        <v>0</v>
      </c>
      <c r="M496" s="654" t="s">
        <v>24</v>
      </c>
      <c r="N496" s="669" t="s">
        <v>100</v>
      </c>
      <c r="O496" s="642">
        <v>0</v>
      </c>
      <c r="P496" s="184">
        <v>0</v>
      </c>
      <c r="Q496" s="184">
        <v>0</v>
      </c>
      <c r="R496" s="184">
        <v>0</v>
      </c>
      <c r="S496" s="184">
        <v>0</v>
      </c>
      <c r="T496" s="184">
        <v>1</v>
      </c>
      <c r="U496" s="184">
        <v>2</v>
      </c>
      <c r="V496" s="184">
        <v>3</v>
      </c>
      <c r="W496" s="184">
        <v>1</v>
      </c>
      <c r="X496" s="184">
        <v>2</v>
      </c>
      <c r="Y496" s="184">
        <v>0</v>
      </c>
      <c r="Z496" s="184">
        <v>0</v>
      </c>
      <c r="AA496" s="184">
        <v>0</v>
      </c>
      <c r="AB496" s="184">
        <v>0</v>
      </c>
      <c r="AC496" s="185">
        <v>43.9</v>
      </c>
      <c r="AD496" s="185" t="s">
        <v>24</v>
      </c>
      <c r="AE496" s="184">
        <v>0</v>
      </c>
      <c r="AF496" s="185">
        <v>0</v>
      </c>
      <c r="AG496" s="184">
        <v>0</v>
      </c>
      <c r="AH496" s="185">
        <v>0</v>
      </c>
      <c r="AI496" s="184">
        <v>0</v>
      </c>
      <c r="AJ496" s="643">
        <v>0</v>
      </c>
    </row>
    <row r="497" spans="1:36" x14ac:dyDescent="0.2">
      <c r="A497" s="190" t="s">
        <v>101</v>
      </c>
      <c r="B497" s="642">
        <v>12</v>
      </c>
      <c r="C497" s="184">
        <v>2</v>
      </c>
      <c r="D497" s="184">
        <v>10</v>
      </c>
      <c r="E497" s="184">
        <v>0</v>
      </c>
      <c r="F497" s="184">
        <v>0</v>
      </c>
      <c r="G497" s="184">
        <v>0</v>
      </c>
      <c r="H497" s="184">
        <v>0</v>
      </c>
      <c r="I497" s="184">
        <v>0</v>
      </c>
      <c r="J497" s="184">
        <v>0</v>
      </c>
      <c r="K497" s="184">
        <v>0</v>
      </c>
      <c r="L497" s="184">
        <v>0</v>
      </c>
      <c r="M497" s="654" t="s">
        <v>24</v>
      </c>
      <c r="N497" s="669" t="s">
        <v>101</v>
      </c>
      <c r="O497" s="642">
        <v>0</v>
      </c>
      <c r="P497" s="184">
        <v>2</v>
      </c>
      <c r="Q497" s="184">
        <v>0</v>
      </c>
      <c r="R497" s="184">
        <v>0</v>
      </c>
      <c r="S497" s="184">
        <v>0</v>
      </c>
      <c r="T497" s="184">
        <v>1</v>
      </c>
      <c r="U497" s="184">
        <v>3</v>
      </c>
      <c r="V497" s="184">
        <v>5</v>
      </c>
      <c r="W497" s="184">
        <v>0</v>
      </c>
      <c r="X497" s="184">
        <v>1</v>
      </c>
      <c r="Y497" s="184">
        <v>0</v>
      </c>
      <c r="Z497" s="184">
        <v>0</v>
      </c>
      <c r="AA497" s="184">
        <v>0</v>
      </c>
      <c r="AB497" s="184">
        <v>0</v>
      </c>
      <c r="AC497" s="185">
        <v>37</v>
      </c>
      <c r="AD497" s="185">
        <v>44.9</v>
      </c>
      <c r="AE497" s="184">
        <v>0</v>
      </c>
      <c r="AF497" s="185">
        <v>0</v>
      </c>
      <c r="AG497" s="184">
        <v>0</v>
      </c>
      <c r="AH497" s="185">
        <v>0</v>
      </c>
      <c r="AI497" s="184">
        <v>0</v>
      </c>
      <c r="AJ497" s="643">
        <v>0</v>
      </c>
    </row>
    <row r="498" spans="1:36" x14ac:dyDescent="0.2">
      <c r="A498" s="190" t="s">
        <v>102</v>
      </c>
      <c r="B498" s="642">
        <v>17</v>
      </c>
      <c r="C498" s="184">
        <v>1</v>
      </c>
      <c r="D498" s="184">
        <v>16</v>
      </c>
      <c r="E498" s="184">
        <v>0</v>
      </c>
      <c r="F498" s="184">
        <v>0</v>
      </c>
      <c r="G498" s="184">
        <v>0</v>
      </c>
      <c r="H498" s="184">
        <v>0</v>
      </c>
      <c r="I498" s="184">
        <v>0</v>
      </c>
      <c r="J498" s="184">
        <v>0</v>
      </c>
      <c r="K498" s="184">
        <v>0</v>
      </c>
      <c r="L498" s="184">
        <v>0</v>
      </c>
      <c r="M498" s="654" t="s">
        <v>24</v>
      </c>
      <c r="N498" s="669" t="s">
        <v>102</v>
      </c>
      <c r="O498" s="642">
        <v>0</v>
      </c>
      <c r="P498" s="184">
        <v>0</v>
      </c>
      <c r="Q498" s="184">
        <v>0</v>
      </c>
      <c r="R498" s="184">
        <v>2</v>
      </c>
      <c r="S498" s="184">
        <v>3</v>
      </c>
      <c r="T498" s="184">
        <v>5</v>
      </c>
      <c r="U498" s="184">
        <v>2</v>
      </c>
      <c r="V498" s="184">
        <v>3</v>
      </c>
      <c r="W498" s="184">
        <v>2</v>
      </c>
      <c r="X498" s="184">
        <v>0</v>
      </c>
      <c r="Y498" s="184">
        <v>0</v>
      </c>
      <c r="Z498" s="184">
        <v>0</v>
      </c>
      <c r="AA498" s="184">
        <v>0</v>
      </c>
      <c r="AB498" s="184">
        <v>0</v>
      </c>
      <c r="AC498" s="185">
        <v>35</v>
      </c>
      <c r="AD498" s="185">
        <v>44.4</v>
      </c>
      <c r="AE498" s="184">
        <v>0</v>
      </c>
      <c r="AF498" s="185">
        <v>0</v>
      </c>
      <c r="AG498" s="184">
        <v>0</v>
      </c>
      <c r="AH498" s="185">
        <v>0</v>
      </c>
      <c r="AI498" s="184">
        <v>0</v>
      </c>
      <c r="AJ498" s="643">
        <v>0</v>
      </c>
    </row>
    <row r="499" spans="1:36" x14ac:dyDescent="0.2">
      <c r="A499" s="190" t="s">
        <v>62</v>
      </c>
      <c r="B499" s="642">
        <v>13</v>
      </c>
      <c r="C499" s="184">
        <v>1</v>
      </c>
      <c r="D499" s="184">
        <v>12</v>
      </c>
      <c r="E499" s="184">
        <v>0</v>
      </c>
      <c r="F499" s="184">
        <v>0</v>
      </c>
      <c r="G499" s="184">
        <v>0</v>
      </c>
      <c r="H499" s="184">
        <v>0</v>
      </c>
      <c r="I499" s="184">
        <v>0</v>
      </c>
      <c r="J499" s="184">
        <v>0</v>
      </c>
      <c r="K499" s="184">
        <v>0</v>
      </c>
      <c r="L499" s="184">
        <v>0</v>
      </c>
      <c r="M499" s="654" t="s">
        <v>24</v>
      </c>
      <c r="N499" s="669" t="s">
        <v>62</v>
      </c>
      <c r="O499" s="642">
        <v>0</v>
      </c>
      <c r="P499" s="184">
        <v>0</v>
      </c>
      <c r="Q499" s="184">
        <v>0</v>
      </c>
      <c r="R499" s="184">
        <v>0</v>
      </c>
      <c r="S499" s="184">
        <v>2</v>
      </c>
      <c r="T499" s="184">
        <v>5</v>
      </c>
      <c r="U499" s="184">
        <v>1</v>
      </c>
      <c r="V499" s="184">
        <v>4</v>
      </c>
      <c r="W499" s="184">
        <v>0</v>
      </c>
      <c r="X499" s="184">
        <v>1</v>
      </c>
      <c r="Y499" s="184">
        <v>0</v>
      </c>
      <c r="Z499" s="184">
        <v>0</v>
      </c>
      <c r="AA499" s="184">
        <v>0</v>
      </c>
      <c r="AB499" s="184">
        <v>0</v>
      </c>
      <c r="AC499" s="185">
        <v>37</v>
      </c>
      <c r="AD499" s="185">
        <v>43.6</v>
      </c>
      <c r="AE499" s="184">
        <v>0</v>
      </c>
      <c r="AF499" s="185">
        <v>0</v>
      </c>
      <c r="AG499" s="184">
        <v>0</v>
      </c>
      <c r="AH499" s="185">
        <v>0</v>
      </c>
      <c r="AI499" s="184">
        <v>0</v>
      </c>
      <c r="AJ499" s="643">
        <v>0</v>
      </c>
    </row>
    <row r="500" spans="1:36" x14ac:dyDescent="0.2">
      <c r="A500" s="190" t="s">
        <v>103</v>
      </c>
      <c r="B500" s="642">
        <v>11</v>
      </c>
      <c r="C500" s="184">
        <v>0</v>
      </c>
      <c r="D500" s="184">
        <v>11</v>
      </c>
      <c r="E500" s="184">
        <v>0</v>
      </c>
      <c r="F500" s="184">
        <v>0</v>
      </c>
      <c r="G500" s="184">
        <v>0</v>
      </c>
      <c r="H500" s="184">
        <v>0</v>
      </c>
      <c r="I500" s="184">
        <v>0</v>
      </c>
      <c r="J500" s="184">
        <v>0</v>
      </c>
      <c r="K500" s="184">
        <v>0</v>
      </c>
      <c r="L500" s="184">
        <v>0</v>
      </c>
      <c r="M500" s="654" t="s">
        <v>24</v>
      </c>
      <c r="N500" s="669" t="s">
        <v>103</v>
      </c>
      <c r="O500" s="642">
        <v>0</v>
      </c>
      <c r="P500" s="184">
        <v>0</v>
      </c>
      <c r="Q500" s="184">
        <v>0</v>
      </c>
      <c r="R500" s="184">
        <v>0</v>
      </c>
      <c r="S500" s="184">
        <v>2</v>
      </c>
      <c r="T500" s="184">
        <v>2</v>
      </c>
      <c r="U500" s="184">
        <v>3</v>
      </c>
      <c r="V500" s="184">
        <v>3</v>
      </c>
      <c r="W500" s="184">
        <v>0</v>
      </c>
      <c r="X500" s="184">
        <v>1</v>
      </c>
      <c r="Y500" s="184">
        <v>0</v>
      </c>
      <c r="Z500" s="184">
        <v>0</v>
      </c>
      <c r="AA500" s="184">
        <v>0</v>
      </c>
      <c r="AB500" s="184">
        <v>0</v>
      </c>
      <c r="AC500" s="185">
        <v>37.9</v>
      </c>
      <c r="AD500" s="185">
        <v>46.5</v>
      </c>
      <c r="AE500" s="184">
        <v>0</v>
      </c>
      <c r="AF500" s="185">
        <v>0</v>
      </c>
      <c r="AG500" s="184">
        <v>0</v>
      </c>
      <c r="AH500" s="185">
        <v>0</v>
      </c>
      <c r="AI500" s="184">
        <v>0</v>
      </c>
      <c r="AJ500" s="643">
        <v>0</v>
      </c>
    </row>
    <row r="501" spans="1:36" x14ac:dyDescent="0.2">
      <c r="A501" s="190" t="s">
        <v>104</v>
      </c>
      <c r="B501" s="642">
        <v>18</v>
      </c>
      <c r="C501" s="184">
        <v>1</v>
      </c>
      <c r="D501" s="184">
        <v>16</v>
      </c>
      <c r="E501" s="184">
        <v>0</v>
      </c>
      <c r="F501" s="184">
        <v>1</v>
      </c>
      <c r="G501" s="184">
        <v>0</v>
      </c>
      <c r="H501" s="184">
        <v>0</v>
      </c>
      <c r="I501" s="184">
        <v>0</v>
      </c>
      <c r="J501" s="184">
        <v>0</v>
      </c>
      <c r="K501" s="184">
        <v>0</v>
      </c>
      <c r="L501" s="184">
        <v>0</v>
      </c>
      <c r="M501" s="654" t="s">
        <v>24</v>
      </c>
      <c r="N501" s="669" t="s">
        <v>104</v>
      </c>
      <c r="O501" s="642">
        <v>0</v>
      </c>
      <c r="P501" s="184">
        <v>0</v>
      </c>
      <c r="Q501" s="184">
        <v>0</v>
      </c>
      <c r="R501" s="184">
        <v>1</v>
      </c>
      <c r="S501" s="184">
        <v>4</v>
      </c>
      <c r="T501" s="184">
        <v>4</v>
      </c>
      <c r="U501" s="184">
        <v>6</v>
      </c>
      <c r="V501" s="184">
        <v>1</v>
      </c>
      <c r="W501" s="184">
        <v>1</v>
      </c>
      <c r="X501" s="184">
        <v>1</v>
      </c>
      <c r="Y501" s="184">
        <v>0</v>
      </c>
      <c r="Z501" s="184">
        <v>0</v>
      </c>
      <c r="AA501" s="184">
        <v>0</v>
      </c>
      <c r="AB501" s="184">
        <v>0</v>
      </c>
      <c r="AC501" s="185">
        <v>35.299999999999997</v>
      </c>
      <c r="AD501" s="185">
        <v>41.8</v>
      </c>
      <c r="AE501" s="184">
        <v>0</v>
      </c>
      <c r="AF501" s="185">
        <v>0</v>
      </c>
      <c r="AG501" s="184">
        <v>0</v>
      </c>
      <c r="AH501" s="185">
        <v>0</v>
      </c>
      <c r="AI501" s="184">
        <v>0</v>
      </c>
      <c r="AJ501" s="643">
        <v>0</v>
      </c>
    </row>
    <row r="502" spans="1:36" x14ac:dyDescent="0.2">
      <c r="A502" s="190" t="s">
        <v>105</v>
      </c>
      <c r="B502" s="642">
        <v>9</v>
      </c>
      <c r="C502" s="184">
        <v>1</v>
      </c>
      <c r="D502" s="184">
        <v>8</v>
      </c>
      <c r="E502" s="184">
        <v>0</v>
      </c>
      <c r="F502" s="184">
        <v>0</v>
      </c>
      <c r="G502" s="184">
        <v>0</v>
      </c>
      <c r="H502" s="184">
        <v>0</v>
      </c>
      <c r="I502" s="184">
        <v>0</v>
      </c>
      <c r="J502" s="184">
        <v>0</v>
      </c>
      <c r="K502" s="184">
        <v>0</v>
      </c>
      <c r="L502" s="184">
        <v>0</v>
      </c>
      <c r="M502" s="654" t="s">
        <v>24</v>
      </c>
      <c r="N502" s="669" t="s">
        <v>105</v>
      </c>
      <c r="O502" s="642">
        <v>0</v>
      </c>
      <c r="P502" s="184">
        <v>0</v>
      </c>
      <c r="Q502" s="184">
        <v>0</v>
      </c>
      <c r="R502" s="184">
        <v>0</v>
      </c>
      <c r="S502" s="184">
        <v>0</v>
      </c>
      <c r="T502" s="184">
        <v>1</v>
      </c>
      <c r="U502" s="184">
        <v>4</v>
      </c>
      <c r="V502" s="184">
        <v>1</v>
      </c>
      <c r="W502" s="184">
        <v>2</v>
      </c>
      <c r="X502" s="184">
        <v>1</v>
      </c>
      <c r="Y502" s="184">
        <v>0</v>
      </c>
      <c r="Z502" s="184">
        <v>0</v>
      </c>
      <c r="AA502" s="184">
        <v>0</v>
      </c>
      <c r="AB502" s="184">
        <v>0</v>
      </c>
      <c r="AC502" s="185">
        <v>41.6</v>
      </c>
      <c r="AD502" s="185" t="s">
        <v>24</v>
      </c>
      <c r="AE502" s="184">
        <v>0</v>
      </c>
      <c r="AF502" s="185">
        <v>0</v>
      </c>
      <c r="AG502" s="184">
        <v>0</v>
      </c>
      <c r="AH502" s="185">
        <v>0</v>
      </c>
      <c r="AI502" s="184">
        <v>0</v>
      </c>
      <c r="AJ502" s="643">
        <v>0</v>
      </c>
    </row>
    <row r="503" spans="1:36" x14ac:dyDescent="0.2">
      <c r="A503" s="190" t="s">
        <v>64</v>
      </c>
      <c r="B503" s="642">
        <v>19</v>
      </c>
      <c r="C503" s="184">
        <v>1</v>
      </c>
      <c r="D503" s="184">
        <v>16</v>
      </c>
      <c r="E503" s="184">
        <v>0</v>
      </c>
      <c r="F503" s="184">
        <v>2</v>
      </c>
      <c r="G503" s="184">
        <v>0</v>
      </c>
      <c r="H503" s="184">
        <v>0</v>
      </c>
      <c r="I503" s="184">
        <v>0</v>
      </c>
      <c r="J503" s="184">
        <v>0</v>
      </c>
      <c r="K503" s="184">
        <v>0</v>
      </c>
      <c r="L503" s="184">
        <v>0</v>
      </c>
      <c r="M503" s="654" t="s">
        <v>24</v>
      </c>
      <c r="N503" s="669" t="s">
        <v>64</v>
      </c>
      <c r="O503" s="642">
        <v>1</v>
      </c>
      <c r="P503" s="184">
        <v>0</v>
      </c>
      <c r="Q503" s="184">
        <v>1</v>
      </c>
      <c r="R503" s="184">
        <v>1</v>
      </c>
      <c r="S503" s="184">
        <v>3</v>
      </c>
      <c r="T503" s="184">
        <v>3</v>
      </c>
      <c r="U503" s="184">
        <v>6</v>
      </c>
      <c r="V503" s="184">
        <v>3</v>
      </c>
      <c r="W503" s="184">
        <v>1</v>
      </c>
      <c r="X503" s="184">
        <v>0</v>
      </c>
      <c r="Y503" s="184">
        <v>0</v>
      </c>
      <c r="Z503" s="184">
        <v>0</v>
      </c>
      <c r="AA503" s="184">
        <v>0</v>
      </c>
      <c r="AB503" s="184">
        <v>0</v>
      </c>
      <c r="AC503" s="185">
        <v>33.299999999999997</v>
      </c>
      <c r="AD503" s="185">
        <v>42.7</v>
      </c>
      <c r="AE503" s="184">
        <v>0</v>
      </c>
      <c r="AF503" s="185">
        <v>0</v>
      </c>
      <c r="AG503" s="184">
        <v>0</v>
      </c>
      <c r="AH503" s="185">
        <v>0</v>
      </c>
      <c r="AI503" s="184">
        <v>0</v>
      </c>
      <c r="AJ503" s="643">
        <v>0</v>
      </c>
    </row>
    <row r="504" spans="1:36" x14ac:dyDescent="0.2">
      <c r="A504" s="190" t="s">
        <v>106</v>
      </c>
      <c r="B504" s="642">
        <v>7</v>
      </c>
      <c r="C504" s="184">
        <v>0</v>
      </c>
      <c r="D504" s="184">
        <v>6</v>
      </c>
      <c r="E504" s="184">
        <v>0</v>
      </c>
      <c r="F504" s="184">
        <v>1</v>
      </c>
      <c r="G504" s="184">
        <v>0</v>
      </c>
      <c r="H504" s="184">
        <v>0</v>
      </c>
      <c r="I504" s="184">
        <v>0</v>
      </c>
      <c r="J504" s="184">
        <v>0</v>
      </c>
      <c r="K504" s="184">
        <v>0</v>
      </c>
      <c r="L504" s="184">
        <v>0</v>
      </c>
      <c r="M504" s="654" t="s">
        <v>24</v>
      </c>
      <c r="N504" s="669" t="s">
        <v>106</v>
      </c>
      <c r="O504" s="642">
        <v>0</v>
      </c>
      <c r="P504" s="184">
        <v>0</v>
      </c>
      <c r="Q504" s="184">
        <v>0</v>
      </c>
      <c r="R504" s="184">
        <v>0</v>
      </c>
      <c r="S504" s="184">
        <v>1</v>
      </c>
      <c r="T504" s="184">
        <v>4</v>
      </c>
      <c r="U504" s="184">
        <v>2</v>
      </c>
      <c r="V504" s="184">
        <v>0</v>
      </c>
      <c r="W504" s="184">
        <v>0</v>
      </c>
      <c r="X504" s="184">
        <v>0</v>
      </c>
      <c r="Y504" s="184">
        <v>0</v>
      </c>
      <c r="Z504" s="184">
        <v>0</v>
      </c>
      <c r="AA504" s="184">
        <v>0</v>
      </c>
      <c r="AB504" s="184">
        <v>0</v>
      </c>
      <c r="AC504" s="185">
        <v>33.799999999999997</v>
      </c>
      <c r="AD504" s="185" t="s">
        <v>24</v>
      </c>
      <c r="AE504" s="184">
        <v>0</v>
      </c>
      <c r="AF504" s="185">
        <v>0</v>
      </c>
      <c r="AG504" s="184">
        <v>0</v>
      </c>
      <c r="AH504" s="185">
        <v>0</v>
      </c>
      <c r="AI504" s="184">
        <v>0</v>
      </c>
      <c r="AJ504" s="643">
        <v>0</v>
      </c>
    </row>
    <row r="505" spans="1:36" x14ac:dyDescent="0.2">
      <c r="A505" s="190" t="s">
        <v>107</v>
      </c>
      <c r="B505" s="642">
        <v>16</v>
      </c>
      <c r="C505" s="184">
        <v>1</v>
      </c>
      <c r="D505" s="184">
        <v>15</v>
      </c>
      <c r="E505" s="184">
        <v>0</v>
      </c>
      <c r="F505" s="184">
        <v>0</v>
      </c>
      <c r="G505" s="184">
        <v>0</v>
      </c>
      <c r="H505" s="184">
        <v>0</v>
      </c>
      <c r="I505" s="184">
        <v>0</v>
      </c>
      <c r="J505" s="184">
        <v>0</v>
      </c>
      <c r="K505" s="184">
        <v>0</v>
      </c>
      <c r="L505" s="184">
        <v>0</v>
      </c>
      <c r="M505" s="654" t="s">
        <v>24</v>
      </c>
      <c r="N505" s="669" t="s">
        <v>107</v>
      </c>
      <c r="O505" s="642">
        <v>0</v>
      </c>
      <c r="P505" s="184">
        <v>0</v>
      </c>
      <c r="Q505" s="184">
        <v>1</v>
      </c>
      <c r="R505" s="184">
        <v>1</v>
      </c>
      <c r="S505" s="184">
        <v>3</v>
      </c>
      <c r="T505" s="184">
        <v>8</v>
      </c>
      <c r="U505" s="184">
        <v>2</v>
      </c>
      <c r="V505" s="184">
        <v>1</v>
      </c>
      <c r="W505" s="184">
        <v>0</v>
      </c>
      <c r="X505" s="184">
        <v>0</v>
      </c>
      <c r="Y505" s="184">
        <v>0</v>
      </c>
      <c r="Z505" s="184">
        <v>0</v>
      </c>
      <c r="AA505" s="184">
        <v>0</v>
      </c>
      <c r="AB505" s="184">
        <v>0</v>
      </c>
      <c r="AC505" s="185">
        <v>31.2</v>
      </c>
      <c r="AD505" s="185">
        <v>36.6</v>
      </c>
      <c r="AE505" s="184">
        <v>0</v>
      </c>
      <c r="AF505" s="185">
        <v>0</v>
      </c>
      <c r="AG505" s="184">
        <v>0</v>
      </c>
      <c r="AH505" s="185">
        <v>0</v>
      </c>
      <c r="AI505" s="184">
        <v>0</v>
      </c>
      <c r="AJ505" s="643">
        <v>0</v>
      </c>
    </row>
    <row r="506" spans="1:36" x14ac:dyDescent="0.2">
      <c r="A506" s="190" t="s">
        <v>108</v>
      </c>
      <c r="B506" s="642">
        <v>20</v>
      </c>
      <c r="C506" s="184">
        <v>0</v>
      </c>
      <c r="D506" s="184">
        <v>20</v>
      </c>
      <c r="E506" s="184">
        <v>0</v>
      </c>
      <c r="F506" s="184">
        <v>0</v>
      </c>
      <c r="G506" s="184">
        <v>0</v>
      </c>
      <c r="H506" s="184">
        <v>0</v>
      </c>
      <c r="I506" s="184">
        <v>0</v>
      </c>
      <c r="J506" s="184">
        <v>0</v>
      </c>
      <c r="K506" s="184">
        <v>0</v>
      </c>
      <c r="L506" s="184">
        <v>0</v>
      </c>
      <c r="M506" s="654" t="s">
        <v>24</v>
      </c>
      <c r="N506" s="669" t="s">
        <v>108</v>
      </c>
      <c r="O506" s="642">
        <v>0</v>
      </c>
      <c r="P506" s="184">
        <v>0</v>
      </c>
      <c r="Q506" s="184">
        <v>0</v>
      </c>
      <c r="R506" s="184">
        <v>0</v>
      </c>
      <c r="S506" s="184">
        <v>3</v>
      </c>
      <c r="T506" s="184">
        <v>5</v>
      </c>
      <c r="U506" s="184">
        <v>7</v>
      </c>
      <c r="V506" s="184">
        <v>5</v>
      </c>
      <c r="W506" s="184">
        <v>0</v>
      </c>
      <c r="X506" s="184">
        <v>0</v>
      </c>
      <c r="Y506" s="184">
        <v>0</v>
      </c>
      <c r="Z506" s="184">
        <v>0</v>
      </c>
      <c r="AA506" s="184">
        <v>0</v>
      </c>
      <c r="AB506" s="184">
        <v>0</v>
      </c>
      <c r="AC506" s="185">
        <v>35.5</v>
      </c>
      <c r="AD506" s="185">
        <v>41.4</v>
      </c>
      <c r="AE506" s="184">
        <v>0</v>
      </c>
      <c r="AF506" s="185">
        <v>0</v>
      </c>
      <c r="AG506" s="184">
        <v>0</v>
      </c>
      <c r="AH506" s="185">
        <v>0</v>
      </c>
      <c r="AI506" s="184">
        <v>0</v>
      </c>
      <c r="AJ506" s="643">
        <v>0</v>
      </c>
    </row>
    <row r="507" spans="1:36" x14ac:dyDescent="0.2">
      <c r="A507" s="190" t="s">
        <v>65</v>
      </c>
      <c r="B507" s="646">
        <v>15</v>
      </c>
      <c r="C507" s="186">
        <v>0</v>
      </c>
      <c r="D507" s="186">
        <v>15</v>
      </c>
      <c r="E507" s="186">
        <v>0</v>
      </c>
      <c r="F507" s="186">
        <v>0</v>
      </c>
      <c r="G507" s="186">
        <v>0</v>
      </c>
      <c r="H507" s="186">
        <v>0</v>
      </c>
      <c r="I507" s="186">
        <v>0</v>
      </c>
      <c r="J507" s="186">
        <v>0</v>
      </c>
      <c r="K507" s="186">
        <v>0</v>
      </c>
      <c r="L507" s="186">
        <v>0</v>
      </c>
      <c r="M507" s="656" t="s">
        <v>24</v>
      </c>
      <c r="N507" s="669" t="s">
        <v>65</v>
      </c>
      <c r="O507" s="646">
        <v>0</v>
      </c>
      <c r="P507" s="186">
        <v>0</v>
      </c>
      <c r="Q507" s="186">
        <v>0</v>
      </c>
      <c r="R507" s="186">
        <v>0</v>
      </c>
      <c r="S507" s="186">
        <v>1</v>
      </c>
      <c r="T507" s="186">
        <v>7</v>
      </c>
      <c r="U507" s="186">
        <v>3</v>
      </c>
      <c r="V507" s="186">
        <v>2</v>
      </c>
      <c r="W507" s="186">
        <v>1</v>
      </c>
      <c r="X507" s="186">
        <v>1</v>
      </c>
      <c r="Y507" s="186">
        <v>0</v>
      </c>
      <c r="Z507" s="186">
        <v>0</v>
      </c>
      <c r="AA507" s="186">
        <v>0</v>
      </c>
      <c r="AB507" s="186">
        <v>0</v>
      </c>
      <c r="AC507" s="187">
        <v>37.5</v>
      </c>
      <c r="AD507" s="187">
        <v>45.9</v>
      </c>
      <c r="AE507" s="186">
        <v>0</v>
      </c>
      <c r="AF507" s="187">
        <v>0</v>
      </c>
      <c r="AG507" s="186">
        <v>0</v>
      </c>
      <c r="AH507" s="187">
        <v>0</v>
      </c>
      <c r="AI507" s="186">
        <v>0</v>
      </c>
      <c r="AJ507" s="647">
        <v>0</v>
      </c>
    </row>
    <row r="508" spans="1:36" x14ac:dyDescent="0.2">
      <c r="A508" s="190" t="s">
        <v>109</v>
      </c>
      <c r="B508" s="642">
        <v>14</v>
      </c>
      <c r="C508" s="184">
        <v>1</v>
      </c>
      <c r="D508" s="184">
        <v>12</v>
      </c>
      <c r="E508" s="184">
        <v>0</v>
      </c>
      <c r="F508" s="184">
        <v>1</v>
      </c>
      <c r="G508" s="184">
        <v>0</v>
      </c>
      <c r="H508" s="184">
        <v>0</v>
      </c>
      <c r="I508" s="184">
        <v>0</v>
      </c>
      <c r="J508" s="184">
        <v>0</v>
      </c>
      <c r="K508" s="184">
        <v>0</v>
      </c>
      <c r="L508" s="184">
        <v>0</v>
      </c>
      <c r="M508" s="654" t="s">
        <v>24</v>
      </c>
      <c r="N508" s="669" t="s">
        <v>109</v>
      </c>
      <c r="O508" s="642">
        <v>0</v>
      </c>
      <c r="P508" s="184">
        <v>1</v>
      </c>
      <c r="Q508" s="184">
        <v>0</v>
      </c>
      <c r="R508" s="184">
        <v>1</v>
      </c>
      <c r="S508" s="184">
        <v>1</v>
      </c>
      <c r="T508" s="184">
        <v>3</v>
      </c>
      <c r="U508" s="184">
        <v>3</v>
      </c>
      <c r="V508" s="184">
        <v>3</v>
      </c>
      <c r="W508" s="184">
        <v>2</v>
      </c>
      <c r="X508" s="184">
        <v>0</v>
      </c>
      <c r="Y508" s="184">
        <v>0</v>
      </c>
      <c r="Z508" s="184">
        <v>0</v>
      </c>
      <c r="AA508" s="184">
        <v>0</v>
      </c>
      <c r="AB508" s="184">
        <v>0</v>
      </c>
      <c r="AC508" s="185">
        <v>35.799999999999997</v>
      </c>
      <c r="AD508" s="185">
        <v>46.8</v>
      </c>
      <c r="AE508" s="184">
        <v>0</v>
      </c>
      <c r="AF508" s="185">
        <v>0</v>
      </c>
      <c r="AG508" s="184">
        <v>0</v>
      </c>
      <c r="AH508" s="185">
        <v>0</v>
      </c>
      <c r="AI508" s="184">
        <v>0</v>
      </c>
      <c r="AJ508" s="643">
        <v>0</v>
      </c>
    </row>
    <row r="509" spans="1:36" x14ac:dyDescent="0.2">
      <c r="A509" s="190" t="s">
        <v>110</v>
      </c>
      <c r="B509" s="642">
        <v>7</v>
      </c>
      <c r="C509" s="184">
        <v>0</v>
      </c>
      <c r="D509" s="184">
        <v>7</v>
      </c>
      <c r="E509" s="184">
        <v>0</v>
      </c>
      <c r="F509" s="184">
        <v>0</v>
      </c>
      <c r="G509" s="184">
        <v>0</v>
      </c>
      <c r="H509" s="184">
        <v>0</v>
      </c>
      <c r="I509" s="184">
        <v>0</v>
      </c>
      <c r="J509" s="184">
        <v>0</v>
      </c>
      <c r="K509" s="184">
        <v>0</v>
      </c>
      <c r="L509" s="184">
        <v>0</v>
      </c>
      <c r="M509" s="654" t="s">
        <v>24</v>
      </c>
      <c r="N509" s="669" t="s">
        <v>110</v>
      </c>
      <c r="O509" s="642">
        <v>0</v>
      </c>
      <c r="P509" s="184">
        <v>0</v>
      </c>
      <c r="Q509" s="184">
        <v>0</v>
      </c>
      <c r="R509" s="184">
        <v>0</v>
      </c>
      <c r="S509" s="184">
        <v>0</v>
      </c>
      <c r="T509" s="184">
        <v>2</v>
      </c>
      <c r="U509" s="184">
        <v>2</v>
      </c>
      <c r="V509" s="184">
        <v>1</v>
      </c>
      <c r="W509" s="184">
        <v>1</v>
      </c>
      <c r="X509" s="184">
        <v>1</v>
      </c>
      <c r="Y509" s="184">
        <v>0</v>
      </c>
      <c r="Z509" s="184">
        <v>0</v>
      </c>
      <c r="AA509" s="184">
        <v>0</v>
      </c>
      <c r="AB509" s="184">
        <v>0</v>
      </c>
      <c r="AC509" s="185">
        <v>40.1</v>
      </c>
      <c r="AD509" s="185" t="s">
        <v>24</v>
      </c>
      <c r="AE509" s="184">
        <v>0</v>
      </c>
      <c r="AF509" s="185">
        <v>0</v>
      </c>
      <c r="AG509" s="184">
        <v>0</v>
      </c>
      <c r="AH509" s="185">
        <v>0</v>
      </c>
      <c r="AI509" s="184">
        <v>0</v>
      </c>
      <c r="AJ509" s="643">
        <v>0</v>
      </c>
    </row>
    <row r="510" spans="1:36" x14ac:dyDescent="0.2">
      <c r="A510" s="190" t="s">
        <v>111</v>
      </c>
      <c r="B510" s="642">
        <v>9</v>
      </c>
      <c r="C510" s="184">
        <v>0</v>
      </c>
      <c r="D510" s="184">
        <v>9</v>
      </c>
      <c r="E510" s="184">
        <v>0</v>
      </c>
      <c r="F510" s="184">
        <v>0</v>
      </c>
      <c r="G510" s="184">
        <v>0</v>
      </c>
      <c r="H510" s="184">
        <v>0</v>
      </c>
      <c r="I510" s="184">
        <v>0</v>
      </c>
      <c r="J510" s="184">
        <v>0</v>
      </c>
      <c r="K510" s="184">
        <v>0</v>
      </c>
      <c r="L510" s="184">
        <v>0</v>
      </c>
      <c r="M510" s="654" t="s">
        <v>24</v>
      </c>
      <c r="N510" s="669" t="s">
        <v>111</v>
      </c>
      <c r="O510" s="642">
        <v>0</v>
      </c>
      <c r="P510" s="184">
        <v>0</v>
      </c>
      <c r="Q510" s="184">
        <v>0</v>
      </c>
      <c r="R510" s="184">
        <v>1</v>
      </c>
      <c r="S510" s="184">
        <v>4</v>
      </c>
      <c r="T510" s="184">
        <v>1</v>
      </c>
      <c r="U510" s="184">
        <v>1</v>
      </c>
      <c r="V510" s="184">
        <v>1</v>
      </c>
      <c r="W510" s="184">
        <v>1</v>
      </c>
      <c r="X510" s="184">
        <v>0</v>
      </c>
      <c r="Y510" s="184">
        <v>0</v>
      </c>
      <c r="Z510" s="184">
        <v>0</v>
      </c>
      <c r="AA510" s="184">
        <v>0</v>
      </c>
      <c r="AB510" s="184">
        <v>0</v>
      </c>
      <c r="AC510" s="185">
        <v>32</v>
      </c>
      <c r="AD510" s="185" t="s">
        <v>24</v>
      </c>
      <c r="AE510" s="184">
        <v>0</v>
      </c>
      <c r="AF510" s="185">
        <v>0</v>
      </c>
      <c r="AG510" s="184">
        <v>0</v>
      </c>
      <c r="AH510" s="185">
        <v>0</v>
      </c>
      <c r="AI510" s="184">
        <v>0</v>
      </c>
      <c r="AJ510" s="643">
        <v>0</v>
      </c>
    </row>
    <row r="511" spans="1:36" x14ac:dyDescent="0.2">
      <c r="A511" s="190" t="s">
        <v>67</v>
      </c>
      <c r="B511" s="642">
        <v>6</v>
      </c>
      <c r="C511" s="184">
        <v>0</v>
      </c>
      <c r="D511" s="184">
        <v>5</v>
      </c>
      <c r="E511" s="184">
        <v>0</v>
      </c>
      <c r="F511" s="184">
        <v>1</v>
      </c>
      <c r="G511" s="184">
        <v>0</v>
      </c>
      <c r="H511" s="184">
        <v>0</v>
      </c>
      <c r="I511" s="184">
        <v>0</v>
      </c>
      <c r="J511" s="184">
        <v>0</v>
      </c>
      <c r="K511" s="184">
        <v>0</v>
      </c>
      <c r="L511" s="184">
        <v>0</v>
      </c>
      <c r="M511" s="654" t="s">
        <v>24</v>
      </c>
      <c r="N511" s="669" t="s">
        <v>67</v>
      </c>
      <c r="O511" s="642">
        <v>0</v>
      </c>
      <c r="P511" s="184">
        <v>0</v>
      </c>
      <c r="Q511" s="184">
        <v>0</v>
      </c>
      <c r="R511" s="184">
        <v>0</v>
      </c>
      <c r="S511" s="184">
        <v>0</v>
      </c>
      <c r="T511" s="184">
        <v>0</v>
      </c>
      <c r="U511" s="184">
        <v>1</v>
      </c>
      <c r="V511" s="184">
        <v>2</v>
      </c>
      <c r="W511" s="184">
        <v>2</v>
      </c>
      <c r="X511" s="184">
        <v>1</v>
      </c>
      <c r="Y511" s="184">
        <v>0</v>
      </c>
      <c r="Z511" s="184">
        <v>0</v>
      </c>
      <c r="AA511" s="184">
        <v>0</v>
      </c>
      <c r="AB511" s="184">
        <v>0</v>
      </c>
      <c r="AC511" s="185">
        <v>45</v>
      </c>
      <c r="AD511" s="185" t="s">
        <v>24</v>
      </c>
      <c r="AE511" s="184">
        <v>0</v>
      </c>
      <c r="AF511" s="185">
        <v>0</v>
      </c>
      <c r="AG511" s="184">
        <v>0</v>
      </c>
      <c r="AH511" s="185">
        <v>0</v>
      </c>
      <c r="AI511" s="184">
        <v>0</v>
      </c>
      <c r="AJ511" s="643">
        <v>0</v>
      </c>
    </row>
    <row r="512" spans="1:36" x14ac:dyDescent="0.2">
      <c r="A512" s="190" t="s">
        <v>112</v>
      </c>
      <c r="B512" s="642">
        <v>11</v>
      </c>
      <c r="C512" s="184">
        <v>0</v>
      </c>
      <c r="D512" s="184">
        <v>9</v>
      </c>
      <c r="E512" s="184">
        <v>1</v>
      </c>
      <c r="F512" s="184">
        <v>1</v>
      </c>
      <c r="G512" s="184">
        <v>0</v>
      </c>
      <c r="H512" s="184">
        <v>0</v>
      </c>
      <c r="I512" s="184">
        <v>0</v>
      </c>
      <c r="J512" s="184">
        <v>0</v>
      </c>
      <c r="K512" s="184">
        <v>0</v>
      </c>
      <c r="L512" s="184">
        <v>0</v>
      </c>
      <c r="M512" s="654" t="s">
        <v>24</v>
      </c>
      <c r="N512" s="669" t="s">
        <v>112</v>
      </c>
      <c r="O512" s="642">
        <v>0</v>
      </c>
      <c r="P512" s="184">
        <v>0</v>
      </c>
      <c r="Q512" s="184">
        <v>0</v>
      </c>
      <c r="R512" s="184">
        <v>1</v>
      </c>
      <c r="S512" s="184">
        <v>0</v>
      </c>
      <c r="T512" s="184">
        <v>0</v>
      </c>
      <c r="U512" s="184">
        <v>0</v>
      </c>
      <c r="V512" s="184">
        <v>8</v>
      </c>
      <c r="W512" s="184">
        <v>2</v>
      </c>
      <c r="X512" s="184">
        <v>0</v>
      </c>
      <c r="Y512" s="184">
        <v>0</v>
      </c>
      <c r="Z512" s="184">
        <v>0</v>
      </c>
      <c r="AA512" s="184">
        <v>0</v>
      </c>
      <c r="AB512" s="184">
        <v>0</v>
      </c>
      <c r="AC512" s="185">
        <v>41.1</v>
      </c>
      <c r="AD512" s="185">
        <v>45.6</v>
      </c>
      <c r="AE512" s="184">
        <v>0</v>
      </c>
      <c r="AF512" s="185">
        <v>0</v>
      </c>
      <c r="AG512" s="184">
        <v>0</v>
      </c>
      <c r="AH512" s="185">
        <v>0</v>
      </c>
      <c r="AI512" s="184">
        <v>0</v>
      </c>
      <c r="AJ512" s="643">
        <v>0</v>
      </c>
    </row>
    <row r="513" spans="1:36" x14ac:dyDescent="0.2">
      <c r="A513" s="190" t="s">
        <v>113</v>
      </c>
      <c r="B513" s="642">
        <v>3</v>
      </c>
      <c r="C513" s="184">
        <v>0</v>
      </c>
      <c r="D513" s="184">
        <v>3</v>
      </c>
      <c r="E513" s="184">
        <v>0</v>
      </c>
      <c r="F513" s="184">
        <v>0</v>
      </c>
      <c r="G513" s="184">
        <v>0</v>
      </c>
      <c r="H513" s="184">
        <v>0</v>
      </c>
      <c r="I513" s="184">
        <v>0</v>
      </c>
      <c r="J513" s="184">
        <v>0</v>
      </c>
      <c r="K513" s="184">
        <v>0</v>
      </c>
      <c r="L513" s="184">
        <v>0</v>
      </c>
      <c r="M513" s="654" t="s">
        <v>24</v>
      </c>
      <c r="N513" s="669" t="s">
        <v>113</v>
      </c>
      <c r="O513" s="642">
        <v>0</v>
      </c>
      <c r="P513" s="184">
        <v>0</v>
      </c>
      <c r="Q513" s="184">
        <v>0</v>
      </c>
      <c r="R513" s="184">
        <v>0</v>
      </c>
      <c r="S513" s="184">
        <v>1</v>
      </c>
      <c r="T513" s="184">
        <v>0</v>
      </c>
      <c r="U513" s="184">
        <v>0</v>
      </c>
      <c r="V513" s="184">
        <v>2</v>
      </c>
      <c r="W513" s="184">
        <v>0</v>
      </c>
      <c r="X513" s="184">
        <v>0</v>
      </c>
      <c r="Y513" s="184">
        <v>0</v>
      </c>
      <c r="Z513" s="184">
        <v>0</v>
      </c>
      <c r="AA513" s="184">
        <v>0</v>
      </c>
      <c r="AB513" s="184">
        <v>0</v>
      </c>
      <c r="AC513" s="185">
        <v>37.700000000000003</v>
      </c>
      <c r="AD513" s="185" t="s">
        <v>24</v>
      </c>
      <c r="AE513" s="184">
        <v>0</v>
      </c>
      <c r="AF513" s="185">
        <v>0</v>
      </c>
      <c r="AG513" s="184">
        <v>0</v>
      </c>
      <c r="AH513" s="185">
        <v>0</v>
      </c>
      <c r="AI513" s="184">
        <v>0</v>
      </c>
      <c r="AJ513" s="643">
        <v>0</v>
      </c>
    </row>
    <row r="514" spans="1:36" x14ac:dyDescent="0.2">
      <c r="A514" s="190" t="s">
        <v>114</v>
      </c>
      <c r="B514" s="642">
        <v>17</v>
      </c>
      <c r="C514" s="184">
        <v>0</v>
      </c>
      <c r="D514" s="184">
        <v>16</v>
      </c>
      <c r="E514" s="184">
        <v>1</v>
      </c>
      <c r="F514" s="184">
        <v>0</v>
      </c>
      <c r="G514" s="184">
        <v>0</v>
      </c>
      <c r="H514" s="184">
        <v>0</v>
      </c>
      <c r="I514" s="184">
        <v>0</v>
      </c>
      <c r="J514" s="184">
        <v>0</v>
      </c>
      <c r="K514" s="184">
        <v>0</v>
      </c>
      <c r="L514" s="184">
        <v>0</v>
      </c>
      <c r="M514" s="654" t="s">
        <v>24</v>
      </c>
      <c r="N514" s="669" t="s">
        <v>114</v>
      </c>
      <c r="O514" s="642">
        <v>0</v>
      </c>
      <c r="P514" s="184">
        <v>0</v>
      </c>
      <c r="Q514" s="184">
        <v>0</v>
      </c>
      <c r="R514" s="184">
        <v>1</v>
      </c>
      <c r="S514" s="184">
        <v>1</v>
      </c>
      <c r="T514" s="184">
        <v>1</v>
      </c>
      <c r="U514" s="184">
        <v>4</v>
      </c>
      <c r="V514" s="184">
        <v>4</v>
      </c>
      <c r="W514" s="184">
        <v>4</v>
      </c>
      <c r="X514" s="184">
        <v>2</v>
      </c>
      <c r="Y514" s="184">
        <v>0</v>
      </c>
      <c r="Z514" s="184">
        <v>0</v>
      </c>
      <c r="AA514" s="184">
        <v>0</v>
      </c>
      <c r="AB514" s="184">
        <v>0</v>
      </c>
      <c r="AC514" s="185">
        <v>41.7</v>
      </c>
      <c r="AD514" s="185">
        <v>49.9</v>
      </c>
      <c r="AE514" s="184">
        <v>0</v>
      </c>
      <c r="AF514" s="185">
        <v>0</v>
      </c>
      <c r="AG514" s="184">
        <v>0</v>
      </c>
      <c r="AH514" s="185">
        <v>0</v>
      </c>
      <c r="AI514" s="184">
        <v>0</v>
      </c>
      <c r="AJ514" s="643">
        <v>0</v>
      </c>
    </row>
    <row r="515" spans="1:36" x14ac:dyDescent="0.2">
      <c r="A515" s="190" t="s">
        <v>69</v>
      </c>
      <c r="B515" s="646">
        <v>6</v>
      </c>
      <c r="C515" s="186">
        <v>0</v>
      </c>
      <c r="D515" s="186">
        <v>5</v>
      </c>
      <c r="E515" s="186">
        <v>0</v>
      </c>
      <c r="F515" s="186">
        <v>1</v>
      </c>
      <c r="G515" s="186">
        <v>0</v>
      </c>
      <c r="H515" s="186">
        <v>0</v>
      </c>
      <c r="I515" s="186">
        <v>0</v>
      </c>
      <c r="J515" s="186">
        <v>0</v>
      </c>
      <c r="K515" s="186">
        <v>0</v>
      </c>
      <c r="L515" s="186">
        <v>0</v>
      </c>
      <c r="M515" s="656" t="s">
        <v>24</v>
      </c>
      <c r="N515" s="669" t="s">
        <v>69</v>
      </c>
      <c r="O515" s="646">
        <v>0</v>
      </c>
      <c r="P515" s="186">
        <v>0</v>
      </c>
      <c r="Q515" s="186">
        <v>0</v>
      </c>
      <c r="R515" s="186">
        <v>0</v>
      </c>
      <c r="S515" s="186">
        <v>1</v>
      </c>
      <c r="T515" s="186">
        <v>0</v>
      </c>
      <c r="U515" s="186">
        <v>1</v>
      </c>
      <c r="V515" s="186">
        <v>1</v>
      </c>
      <c r="W515" s="186">
        <v>2</v>
      </c>
      <c r="X515" s="186">
        <v>1</v>
      </c>
      <c r="Y515" s="186">
        <v>0</v>
      </c>
      <c r="Z515" s="186">
        <v>0</v>
      </c>
      <c r="AA515" s="186">
        <v>0</v>
      </c>
      <c r="AB515" s="186">
        <v>0</v>
      </c>
      <c r="AC515" s="187">
        <v>43.1</v>
      </c>
      <c r="AD515" s="187" t="s">
        <v>24</v>
      </c>
      <c r="AE515" s="186">
        <v>0</v>
      </c>
      <c r="AF515" s="187">
        <v>0</v>
      </c>
      <c r="AG515" s="186">
        <v>0</v>
      </c>
      <c r="AH515" s="187">
        <v>0</v>
      </c>
      <c r="AI515" s="186">
        <v>0</v>
      </c>
      <c r="AJ515" s="647">
        <v>0</v>
      </c>
    </row>
    <row r="516" spans="1:36" x14ac:dyDescent="0.2">
      <c r="A516" s="190" t="s">
        <v>115</v>
      </c>
      <c r="B516" s="642">
        <v>11</v>
      </c>
      <c r="C516" s="184">
        <v>0</v>
      </c>
      <c r="D516" s="184">
        <v>10</v>
      </c>
      <c r="E516" s="184">
        <v>0</v>
      </c>
      <c r="F516" s="184">
        <v>1</v>
      </c>
      <c r="G516" s="184">
        <v>0</v>
      </c>
      <c r="H516" s="184">
        <v>0</v>
      </c>
      <c r="I516" s="184">
        <v>0</v>
      </c>
      <c r="J516" s="184">
        <v>0</v>
      </c>
      <c r="K516" s="184">
        <v>0</v>
      </c>
      <c r="L516" s="184">
        <v>0</v>
      </c>
      <c r="M516" s="654" t="s">
        <v>24</v>
      </c>
      <c r="N516" s="669" t="s">
        <v>115</v>
      </c>
      <c r="O516" s="642">
        <v>0</v>
      </c>
      <c r="P516" s="184">
        <v>0</v>
      </c>
      <c r="Q516" s="184">
        <v>0</v>
      </c>
      <c r="R516" s="184">
        <v>0</v>
      </c>
      <c r="S516" s="184">
        <v>1</v>
      </c>
      <c r="T516" s="184">
        <v>2</v>
      </c>
      <c r="U516" s="184">
        <v>2</v>
      </c>
      <c r="V516" s="184">
        <v>1</v>
      </c>
      <c r="W516" s="184">
        <v>4</v>
      </c>
      <c r="X516" s="184">
        <v>1</v>
      </c>
      <c r="Y516" s="184">
        <v>0</v>
      </c>
      <c r="Z516" s="184">
        <v>0</v>
      </c>
      <c r="AA516" s="184">
        <v>0</v>
      </c>
      <c r="AB516" s="184">
        <v>0</v>
      </c>
      <c r="AC516" s="185">
        <v>41.8</v>
      </c>
      <c r="AD516" s="185">
        <v>51.2</v>
      </c>
      <c r="AE516" s="184">
        <v>0</v>
      </c>
      <c r="AF516" s="185">
        <v>0</v>
      </c>
      <c r="AG516" s="184">
        <v>0</v>
      </c>
      <c r="AH516" s="185">
        <v>0</v>
      </c>
      <c r="AI516" s="184">
        <v>0</v>
      </c>
      <c r="AJ516" s="643">
        <v>0</v>
      </c>
    </row>
    <row r="517" spans="1:36" x14ac:dyDescent="0.2">
      <c r="A517" s="190" t="s">
        <v>116</v>
      </c>
      <c r="B517" s="642">
        <v>6</v>
      </c>
      <c r="C517" s="184">
        <v>0</v>
      </c>
      <c r="D517" s="184">
        <v>6</v>
      </c>
      <c r="E517" s="184">
        <v>0</v>
      </c>
      <c r="F517" s="184">
        <v>0</v>
      </c>
      <c r="G517" s="184">
        <v>0</v>
      </c>
      <c r="H517" s="184">
        <v>0</v>
      </c>
      <c r="I517" s="184">
        <v>0</v>
      </c>
      <c r="J517" s="184">
        <v>0</v>
      </c>
      <c r="K517" s="184">
        <v>0</v>
      </c>
      <c r="L517" s="184">
        <v>0</v>
      </c>
      <c r="M517" s="654" t="s">
        <v>24</v>
      </c>
      <c r="N517" s="669" t="s">
        <v>116</v>
      </c>
      <c r="O517" s="642">
        <v>0</v>
      </c>
      <c r="P517" s="184">
        <v>0</v>
      </c>
      <c r="Q517" s="184">
        <v>0</v>
      </c>
      <c r="R517" s="184">
        <v>0</v>
      </c>
      <c r="S517" s="184">
        <v>1</v>
      </c>
      <c r="T517" s="184">
        <v>3</v>
      </c>
      <c r="U517" s="184">
        <v>1</v>
      </c>
      <c r="V517" s="184">
        <v>0</v>
      </c>
      <c r="W517" s="184">
        <v>1</v>
      </c>
      <c r="X517" s="184">
        <v>0</v>
      </c>
      <c r="Y517" s="184">
        <v>0</v>
      </c>
      <c r="Z517" s="184">
        <v>0</v>
      </c>
      <c r="AA517" s="184">
        <v>0</v>
      </c>
      <c r="AB517" s="184">
        <v>0</v>
      </c>
      <c r="AC517" s="185">
        <v>35.1</v>
      </c>
      <c r="AD517" s="185" t="s">
        <v>24</v>
      </c>
      <c r="AE517" s="184">
        <v>0</v>
      </c>
      <c r="AF517" s="185">
        <v>0</v>
      </c>
      <c r="AG517" s="184">
        <v>0</v>
      </c>
      <c r="AH517" s="185">
        <v>0</v>
      </c>
      <c r="AI517" s="184">
        <v>0</v>
      </c>
      <c r="AJ517" s="643">
        <v>0</v>
      </c>
    </row>
    <row r="518" spans="1:36" ht="13.5" thickBot="1" x14ac:dyDescent="0.25">
      <c r="A518" s="190" t="s">
        <v>117</v>
      </c>
      <c r="B518" s="644">
        <v>3</v>
      </c>
      <c r="C518" s="188">
        <v>0</v>
      </c>
      <c r="D518" s="188">
        <v>3</v>
      </c>
      <c r="E518" s="188">
        <v>0</v>
      </c>
      <c r="F518" s="188">
        <v>0</v>
      </c>
      <c r="G518" s="188">
        <v>0</v>
      </c>
      <c r="H518" s="188">
        <v>0</v>
      </c>
      <c r="I518" s="188">
        <v>0</v>
      </c>
      <c r="J518" s="188">
        <v>0</v>
      </c>
      <c r="K518" s="188">
        <v>0</v>
      </c>
      <c r="L518" s="188">
        <v>0</v>
      </c>
      <c r="M518" s="655" t="s">
        <v>24</v>
      </c>
      <c r="N518" s="669" t="s">
        <v>117</v>
      </c>
      <c r="O518" s="644">
        <v>0</v>
      </c>
      <c r="P518" s="188">
        <v>0</v>
      </c>
      <c r="Q518" s="188">
        <v>0</v>
      </c>
      <c r="R518" s="188">
        <v>0</v>
      </c>
      <c r="S518" s="188">
        <v>0</v>
      </c>
      <c r="T518" s="188">
        <v>1</v>
      </c>
      <c r="U518" s="188">
        <v>0</v>
      </c>
      <c r="V518" s="188">
        <v>1</v>
      </c>
      <c r="W518" s="188">
        <v>1</v>
      </c>
      <c r="X518" s="188">
        <v>0</v>
      </c>
      <c r="Y518" s="188">
        <v>0</v>
      </c>
      <c r="Z518" s="188">
        <v>0</v>
      </c>
      <c r="AA518" s="188">
        <v>0</v>
      </c>
      <c r="AB518" s="188">
        <v>0</v>
      </c>
      <c r="AC518" s="189">
        <v>39.6</v>
      </c>
      <c r="AD518" s="189" t="s">
        <v>24</v>
      </c>
      <c r="AE518" s="188">
        <v>0</v>
      </c>
      <c r="AF518" s="189">
        <v>0</v>
      </c>
      <c r="AG518" s="188">
        <v>0</v>
      </c>
      <c r="AH518" s="189">
        <v>0</v>
      </c>
      <c r="AI518" s="188">
        <v>0</v>
      </c>
      <c r="AJ518" s="645">
        <v>0</v>
      </c>
    </row>
    <row r="519" spans="1:36" x14ac:dyDescent="0.2">
      <c r="A519" s="190" t="s">
        <v>71</v>
      </c>
      <c r="B519" s="642">
        <v>11</v>
      </c>
      <c r="C519" s="184">
        <v>0</v>
      </c>
      <c r="D519" s="184">
        <v>11</v>
      </c>
      <c r="E519" s="184">
        <v>0</v>
      </c>
      <c r="F519" s="184">
        <v>0</v>
      </c>
      <c r="G519" s="184">
        <v>0</v>
      </c>
      <c r="H519" s="184">
        <v>0</v>
      </c>
      <c r="I519" s="184">
        <v>0</v>
      </c>
      <c r="J519" s="184">
        <v>0</v>
      </c>
      <c r="K519" s="184">
        <v>0</v>
      </c>
      <c r="L519" s="184">
        <v>0</v>
      </c>
      <c r="M519" s="654" t="s">
        <v>24</v>
      </c>
      <c r="N519" s="669" t="s">
        <v>71</v>
      </c>
      <c r="O519" s="642">
        <v>0</v>
      </c>
      <c r="P519" s="184">
        <v>0</v>
      </c>
      <c r="Q519" s="184">
        <v>0</v>
      </c>
      <c r="R519" s="184">
        <v>1</v>
      </c>
      <c r="S519" s="184">
        <v>1</v>
      </c>
      <c r="T519" s="184">
        <v>1</v>
      </c>
      <c r="U519" s="184">
        <v>1</v>
      </c>
      <c r="V519" s="184">
        <v>3</v>
      </c>
      <c r="W519" s="184">
        <v>1</v>
      </c>
      <c r="X519" s="184">
        <v>3</v>
      </c>
      <c r="Y519" s="184">
        <v>0</v>
      </c>
      <c r="Z519" s="184">
        <v>0</v>
      </c>
      <c r="AA519" s="184">
        <v>0</v>
      </c>
      <c r="AB519" s="184">
        <v>0</v>
      </c>
      <c r="AC519" s="185">
        <v>41</v>
      </c>
      <c r="AD519" s="185">
        <v>52.5</v>
      </c>
      <c r="AE519" s="184">
        <v>0</v>
      </c>
      <c r="AF519" s="185">
        <v>0</v>
      </c>
      <c r="AG519" s="184">
        <v>0</v>
      </c>
      <c r="AH519" s="185">
        <v>0</v>
      </c>
      <c r="AI519" s="184">
        <v>0</v>
      </c>
      <c r="AJ519" s="643">
        <v>0</v>
      </c>
    </row>
    <row r="520" spans="1:36" x14ac:dyDescent="0.2">
      <c r="A520" s="190" t="s">
        <v>118</v>
      </c>
      <c r="B520" s="642">
        <v>10</v>
      </c>
      <c r="C520" s="184">
        <v>0</v>
      </c>
      <c r="D520" s="184">
        <v>9</v>
      </c>
      <c r="E520" s="184">
        <v>0</v>
      </c>
      <c r="F520" s="184">
        <v>1</v>
      </c>
      <c r="G520" s="184">
        <v>0</v>
      </c>
      <c r="H520" s="184">
        <v>0</v>
      </c>
      <c r="I520" s="184">
        <v>0</v>
      </c>
      <c r="J520" s="184">
        <v>0</v>
      </c>
      <c r="K520" s="184">
        <v>0</v>
      </c>
      <c r="L520" s="184">
        <v>0</v>
      </c>
      <c r="M520" s="654" t="s">
        <v>24</v>
      </c>
      <c r="N520" s="669" t="s">
        <v>118</v>
      </c>
      <c r="O520" s="642">
        <v>0</v>
      </c>
      <c r="P520" s="184">
        <v>1</v>
      </c>
      <c r="Q520" s="184">
        <v>0</v>
      </c>
      <c r="R520" s="184">
        <v>0</v>
      </c>
      <c r="S520" s="184">
        <v>0</v>
      </c>
      <c r="T520" s="184">
        <v>2</v>
      </c>
      <c r="U520" s="184">
        <v>2</v>
      </c>
      <c r="V520" s="184">
        <v>2</v>
      </c>
      <c r="W520" s="184">
        <v>2</v>
      </c>
      <c r="X520" s="184">
        <v>1</v>
      </c>
      <c r="Y520" s="184">
        <v>0</v>
      </c>
      <c r="Z520" s="184">
        <v>0</v>
      </c>
      <c r="AA520" s="184">
        <v>0</v>
      </c>
      <c r="AB520" s="184">
        <v>0</v>
      </c>
      <c r="AC520" s="185">
        <v>38.9</v>
      </c>
      <c r="AD520" s="185" t="s">
        <v>24</v>
      </c>
      <c r="AE520" s="184">
        <v>0</v>
      </c>
      <c r="AF520" s="185">
        <v>0</v>
      </c>
      <c r="AG520" s="184">
        <v>0</v>
      </c>
      <c r="AH520" s="185">
        <v>0</v>
      </c>
      <c r="AI520" s="184">
        <v>0</v>
      </c>
      <c r="AJ520" s="643">
        <v>0</v>
      </c>
    </row>
    <row r="521" spans="1:36" x14ac:dyDescent="0.2">
      <c r="A521" s="190" t="s">
        <v>119</v>
      </c>
      <c r="B521" s="642">
        <v>5</v>
      </c>
      <c r="C521" s="184">
        <v>0</v>
      </c>
      <c r="D521" s="184">
        <v>5</v>
      </c>
      <c r="E521" s="184">
        <v>0</v>
      </c>
      <c r="F521" s="184">
        <v>0</v>
      </c>
      <c r="G521" s="184">
        <v>0</v>
      </c>
      <c r="H521" s="184">
        <v>0</v>
      </c>
      <c r="I521" s="184">
        <v>0</v>
      </c>
      <c r="J521" s="184">
        <v>0</v>
      </c>
      <c r="K521" s="184">
        <v>0</v>
      </c>
      <c r="L521" s="184">
        <v>0</v>
      </c>
      <c r="M521" s="654" t="s">
        <v>24</v>
      </c>
      <c r="N521" s="669" t="s">
        <v>119</v>
      </c>
      <c r="O521" s="642">
        <v>0</v>
      </c>
      <c r="P521" s="184">
        <v>0</v>
      </c>
      <c r="Q521" s="184">
        <v>0</v>
      </c>
      <c r="R521" s="184">
        <v>0</v>
      </c>
      <c r="S521" s="184">
        <v>0</v>
      </c>
      <c r="T521" s="184">
        <v>0</v>
      </c>
      <c r="U521" s="184">
        <v>3</v>
      </c>
      <c r="V521" s="184">
        <v>1</v>
      </c>
      <c r="W521" s="184">
        <v>1</v>
      </c>
      <c r="X521" s="184">
        <v>0</v>
      </c>
      <c r="Y521" s="184">
        <v>0</v>
      </c>
      <c r="Z521" s="184">
        <v>0</v>
      </c>
      <c r="AA521" s="184">
        <v>0</v>
      </c>
      <c r="AB521" s="184">
        <v>0</v>
      </c>
      <c r="AC521" s="185">
        <v>40.6</v>
      </c>
      <c r="AD521" s="185" t="s">
        <v>24</v>
      </c>
      <c r="AE521" s="184">
        <v>0</v>
      </c>
      <c r="AF521" s="185">
        <v>0</v>
      </c>
      <c r="AG521" s="184">
        <v>0</v>
      </c>
      <c r="AH521" s="185">
        <v>0</v>
      </c>
      <c r="AI521" s="184">
        <v>0</v>
      </c>
      <c r="AJ521" s="643">
        <v>0</v>
      </c>
    </row>
    <row r="522" spans="1:36" x14ac:dyDescent="0.2">
      <c r="A522" s="190" t="s">
        <v>120</v>
      </c>
      <c r="B522" s="642">
        <v>9</v>
      </c>
      <c r="C522" s="184">
        <v>0</v>
      </c>
      <c r="D522" s="184">
        <v>8</v>
      </c>
      <c r="E522" s="184">
        <v>0</v>
      </c>
      <c r="F522" s="184">
        <v>1</v>
      </c>
      <c r="G522" s="184">
        <v>0</v>
      </c>
      <c r="H522" s="184">
        <v>0</v>
      </c>
      <c r="I522" s="184">
        <v>0</v>
      </c>
      <c r="J522" s="184">
        <v>0</v>
      </c>
      <c r="K522" s="184">
        <v>0</v>
      </c>
      <c r="L522" s="184">
        <v>0</v>
      </c>
      <c r="M522" s="654" t="s">
        <v>24</v>
      </c>
      <c r="N522" s="669" t="s">
        <v>120</v>
      </c>
      <c r="O522" s="642">
        <v>0</v>
      </c>
      <c r="P522" s="184">
        <v>0</v>
      </c>
      <c r="Q522" s="184">
        <v>0</v>
      </c>
      <c r="R522" s="184">
        <v>0</v>
      </c>
      <c r="S522" s="184">
        <v>0</v>
      </c>
      <c r="T522" s="184">
        <v>0</v>
      </c>
      <c r="U522" s="184">
        <v>1</v>
      </c>
      <c r="V522" s="184">
        <v>5</v>
      </c>
      <c r="W522" s="184">
        <v>1</v>
      </c>
      <c r="X522" s="184">
        <v>2</v>
      </c>
      <c r="Y522" s="184">
        <v>0</v>
      </c>
      <c r="Z522" s="184">
        <v>0</v>
      </c>
      <c r="AA522" s="184">
        <v>0</v>
      </c>
      <c r="AB522" s="184">
        <v>0</v>
      </c>
      <c r="AC522" s="185">
        <v>45.1</v>
      </c>
      <c r="AD522" s="185" t="s">
        <v>24</v>
      </c>
      <c r="AE522" s="184">
        <v>0</v>
      </c>
      <c r="AF522" s="185">
        <v>0</v>
      </c>
      <c r="AG522" s="184">
        <v>0</v>
      </c>
      <c r="AH522" s="185">
        <v>0</v>
      </c>
      <c r="AI522" s="184">
        <v>0</v>
      </c>
      <c r="AJ522" s="643">
        <v>0</v>
      </c>
    </row>
    <row r="523" spans="1:36" x14ac:dyDescent="0.2">
      <c r="A523" s="190" t="s">
        <v>72</v>
      </c>
      <c r="B523" s="642">
        <v>4</v>
      </c>
      <c r="C523" s="184">
        <v>0</v>
      </c>
      <c r="D523" s="184">
        <v>4</v>
      </c>
      <c r="E523" s="184">
        <v>0</v>
      </c>
      <c r="F523" s="184">
        <v>0</v>
      </c>
      <c r="G523" s="184">
        <v>0</v>
      </c>
      <c r="H523" s="184">
        <v>0</v>
      </c>
      <c r="I523" s="184">
        <v>0</v>
      </c>
      <c r="J523" s="184">
        <v>0</v>
      </c>
      <c r="K523" s="184">
        <v>0</v>
      </c>
      <c r="L523" s="184">
        <v>0</v>
      </c>
      <c r="M523" s="654" t="s">
        <v>24</v>
      </c>
      <c r="N523" s="669" t="s">
        <v>72</v>
      </c>
      <c r="O523" s="642">
        <v>0</v>
      </c>
      <c r="P523" s="184">
        <v>0</v>
      </c>
      <c r="Q523" s="184">
        <v>0</v>
      </c>
      <c r="R523" s="184">
        <v>0</v>
      </c>
      <c r="S523" s="184">
        <v>1</v>
      </c>
      <c r="T523" s="184">
        <v>0</v>
      </c>
      <c r="U523" s="184">
        <v>1</v>
      </c>
      <c r="V523" s="184">
        <v>1</v>
      </c>
      <c r="W523" s="184">
        <v>1</v>
      </c>
      <c r="X523" s="184">
        <v>0</v>
      </c>
      <c r="Y523" s="184">
        <v>0</v>
      </c>
      <c r="Z523" s="184">
        <v>0</v>
      </c>
      <c r="AA523" s="184">
        <v>0</v>
      </c>
      <c r="AB523" s="184">
        <v>0</v>
      </c>
      <c r="AC523" s="185">
        <v>38.200000000000003</v>
      </c>
      <c r="AD523" s="185" t="s">
        <v>24</v>
      </c>
      <c r="AE523" s="184">
        <v>0</v>
      </c>
      <c r="AF523" s="185">
        <v>0</v>
      </c>
      <c r="AG523" s="184">
        <v>0</v>
      </c>
      <c r="AH523" s="185">
        <v>0</v>
      </c>
      <c r="AI523" s="184">
        <v>0</v>
      </c>
      <c r="AJ523" s="643">
        <v>0</v>
      </c>
    </row>
    <row r="524" spans="1:36" x14ac:dyDescent="0.2">
      <c r="A524" s="190" t="s">
        <v>121</v>
      </c>
      <c r="B524" s="642">
        <v>7</v>
      </c>
      <c r="C524" s="184">
        <v>0</v>
      </c>
      <c r="D524" s="184">
        <v>6</v>
      </c>
      <c r="E524" s="184">
        <v>0</v>
      </c>
      <c r="F524" s="184">
        <v>1</v>
      </c>
      <c r="G524" s="184">
        <v>0</v>
      </c>
      <c r="H524" s="184">
        <v>0</v>
      </c>
      <c r="I524" s="184">
        <v>0</v>
      </c>
      <c r="J524" s="184">
        <v>0</v>
      </c>
      <c r="K524" s="184">
        <v>0</v>
      </c>
      <c r="L524" s="184">
        <v>0</v>
      </c>
      <c r="M524" s="654" t="s">
        <v>24</v>
      </c>
      <c r="N524" s="669" t="s">
        <v>121</v>
      </c>
      <c r="O524" s="642">
        <v>0</v>
      </c>
      <c r="P524" s="184">
        <v>0</v>
      </c>
      <c r="Q524" s="184">
        <v>0</v>
      </c>
      <c r="R524" s="184">
        <v>0</v>
      </c>
      <c r="S524" s="184">
        <v>1</v>
      </c>
      <c r="T524" s="184">
        <v>0</v>
      </c>
      <c r="U524" s="184">
        <v>0</v>
      </c>
      <c r="V524" s="184">
        <v>4</v>
      </c>
      <c r="W524" s="184">
        <v>1</v>
      </c>
      <c r="X524" s="184">
        <v>1</v>
      </c>
      <c r="Y524" s="184">
        <v>0</v>
      </c>
      <c r="Z524" s="184">
        <v>0</v>
      </c>
      <c r="AA524" s="184">
        <v>0</v>
      </c>
      <c r="AB524" s="184">
        <v>0</v>
      </c>
      <c r="AC524" s="185">
        <v>43.6</v>
      </c>
      <c r="AD524" s="185" t="s">
        <v>24</v>
      </c>
      <c r="AE524" s="184">
        <v>0</v>
      </c>
      <c r="AF524" s="185">
        <v>0</v>
      </c>
      <c r="AG524" s="184">
        <v>0</v>
      </c>
      <c r="AH524" s="185">
        <v>0</v>
      </c>
      <c r="AI524" s="184">
        <v>0</v>
      </c>
      <c r="AJ524" s="643">
        <v>0</v>
      </c>
    </row>
    <row r="525" spans="1:36" x14ac:dyDescent="0.2">
      <c r="A525" s="190" t="s">
        <v>122</v>
      </c>
      <c r="B525" s="642">
        <v>4</v>
      </c>
      <c r="C525" s="184">
        <v>0</v>
      </c>
      <c r="D525" s="184">
        <v>4</v>
      </c>
      <c r="E525" s="184">
        <v>0</v>
      </c>
      <c r="F525" s="184">
        <v>0</v>
      </c>
      <c r="G525" s="184">
        <v>0</v>
      </c>
      <c r="H525" s="184">
        <v>0</v>
      </c>
      <c r="I525" s="184">
        <v>0</v>
      </c>
      <c r="J525" s="184">
        <v>0</v>
      </c>
      <c r="K525" s="184">
        <v>0</v>
      </c>
      <c r="L525" s="184">
        <v>0</v>
      </c>
      <c r="M525" s="654" t="s">
        <v>24</v>
      </c>
      <c r="N525" s="669" t="s">
        <v>122</v>
      </c>
      <c r="O525" s="642">
        <v>0</v>
      </c>
      <c r="P525" s="184">
        <v>0</v>
      </c>
      <c r="Q525" s="184">
        <v>0</v>
      </c>
      <c r="R525" s="184">
        <v>0</v>
      </c>
      <c r="S525" s="184">
        <v>0</v>
      </c>
      <c r="T525" s="184">
        <v>0</v>
      </c>
      <c r="U525" s="184">
        <v>1</v>
      </c>
      <c r="V525" s="184">
        <v>1</v>
      </c>
      <c r="W525" s="184">
        <v>1</v>
      </c>
      <c r="X525" s="184">
        <v>1</v>
      </c>
      <c r="Y525" s="184">
        <v>0</v>
      </c>
      <c r="Z525" s="184">
        <v>0</v>
      </c>
      <c r="AA525" s="184">
        <v>0</v>
      </c>
      <c r="AB525" s="184">
        <v>0</v>
      </c>
      <c r="AC525" s="185">
        <v>44</v>
      </c>
      <c r="AD525" s="185" t="s">
        <v>24</v>
      </c>
      <c r="AE525" s="184">
        <v>0</v>
      </c>
      <c r="AF525" s="185">
        <v>0</v>
      </c>
      <c r="AG525" s="184">
        <v>0</v>
      </c>
      <c r="AH525" s="185">
        <v>0</v>
      </c>
      <c r="AI525" s="184">
        <v>0</v>
      </c>
      <c r="AJ525" s="643">
        <v>0</v>
      </c>
    </row>
    <row r="526" spans="1:36" x14ac:dyDescent="0.2">
      <c r="A526" s="190" t="s">
        <v>123</v>
      </c>
      <c r="B526" s="642">
        <v>3</v>
      </c>
      <c r="C526" s="184">
        <v>0</v>
      </c>
      <c r="D526" s="184">
        <v>3</v>
      </c>
      <c r="E526" s="184">
        <v>0</v>
      </c>
      <c r="F526" s="184">
        <v>0</v>
      </c>
      <c r="G526" s="184">
        <v>0</v>
      </c>
      <c r="H526" s="184">
        <v>0</v>
      </c>
      <c r="I526" s="184">
        <v>0</v>
      </c>
      <c r="J526" s="184">
        <v>0</v>
      </c>
      <c r="K526" s="184">
        <v>0</v>
      </c>
      <c r="L526" s="184">
        <v>0</v>
      </c>
      <c r="M526" s="654" t="s">
        <v>24</v>
      </c>
      <c r="N526" s="669" t="s">
        <v>123</v>
      </c>
      <c r="O526" s="642">
        <v>0</v>
      </c>
      <c r="P526" s="184">
        <v>0</v>
      </c>
      <c r="Q526" s="184">
        <v>0</v>
      </c>
      <c r="R526" s="184">
        <v>0</v>
      </c>
      <c r="S526" s="184">
        <v>0</v>
      </c>
      <c r="T526" s="184">
        <v>0</v>
      </c>
      <c r="U526" s="184">
        <v>1</v>
      </c>
      <c r="V526" s="184">
        <v>2</v>
      </c>
      <c r="W526" s="184">
        <v>0</v>
      </c>
      <c r="X526" s="184">
        <v>0</v>
      </c>
      <c r="Y526" s="184">
        <v>0</v>
      </c>
      <c r="Z526" s="184">
        <v>0</v>
      </c>
      <c r="AA526" s="184">
        <v>0</v>
      </c>
      <c r="AB526" s="184">
        <v>0</v>
      </c>
      <c r="AC526" s="185">
        <v>41</v>
      </c>
      <c r="AD526" s="185" t="s">
        <v>24</v>
      </c>
      <c r="AE526" s="184">
        <v>0</v>
      </c>
      <c r="AF526" s="185">
        <v>0</v>
      </c>
      <c r="AG526" s="184">
        <v>0</v>
      </c>
      <c r="AH526" s="185">
        <v>0</v>
      </c>
      <c r="AI526" s="184">
        <v>0</v>
      </c>
      <c r="AJ526" s="643">
        <v>0</v>
      </c>
    </row>
    <row r="527" spans="1:36" x14ac:dyDescent="0.2">
      <c r="A527" s="190" t="s">
        <v>74</v>
      </c>
      <c r="B527" s="642">
        <v>3</v>
      </c>
      <c r="C527" s="184">
        <v>0</v>
      </c>
      <c r="D527" s="184">
        <v>3</v>
      </c>
      <c r="E527" s="184">
        <v>0</v>
      </c>
      <c r="F527" s="184">
        <v>0</v>
      </c>
      <c r="G527" s="184">
        <v>0</v>
      </c>
      <c r="H527" s="184">
        <v>0</v>
      </c>
      <c r="I527" s="184">
        <v>0</v>
      </c>
      <c r="J527" s="184">
        <v>0</v>
      </c>
      <c r="K527" s="184">
        <v>0</v>
      </c>
      <c r="L527" s="184">
        <v>0</v>
      </c>
      <c r="M527" s="654" t="s">
        <v>24</v>
      </c>
      <c r="N527" s="669" t="s">
        <v>74</v>
      </c>
      <c r="O527" s="642">
        <v>0</v>
      </c>
      <c r="P527" s="184">
        <v>0</v>
      </c>
      <c r="Q527" s="184">
        <v>0</v>
      </c>
      <c r="R527" s="184">
        <v>0</v>
      </c>
      <c r="S527" s="184">
        <v>0</v>
      </c>
      <c r="T527" s="184">
        <v>0</v>
      </c>
      <c r="U527" s="184">
        <v>0</v>
      </c>
      <c r="V527" s="184">
        <v>1</v>
      </c>
      <c r="W527" s="184">
        <v>1</v>
      </c>
      <c r="X527" s="184">
        <v>0</v>
      </c>
      <c r="Y527" s="184">
        <v>1</v>
      </c>
      <c r="Z527" s="184">
        <v>0</v>
      </c>
      <c r="AA527" s="184">
        <v>0</v>
      </c>
      <c r="AB527" s="184">
        <v>0</v>
      </c>
      <c r="AC527" s="185">
        <v>49.6</v>
      </c>
      <c r="AD527" s="185" t="s">
        <v>24</v>
      </c>
      <c r="AE527" s="184">
        <v>1</v>
      </c>
      <c r="AF527" s="185">
        <v>33.333333333333329</v>
      </c>
      <c r="AG527" s="184">
        <v>0</v>
      </c>
      <c r="AH527" s="185">
        <v>0</v>
      </c>
      <c r="AI527" s="184">
        <v>0</v>
      </c>
      <c r="AJ527" s="643">
        <v>0</v>
      </c>
    </row>
    <row r="528" spans="1:36" x14ac:dyDescent="0.2">
      <c r="A528" s="190" t="s">
        <v>124</v>
      </c>
      <c r="B528" s="642">
        <v>5</v>
      </c>
      <c r="C528" s="184">
        <v>0</v>
      </c>
      <c r="D528" s="184">
        <v>5</v>
      </c>
      <c r="E528" s="184">
        <v>0</v>
      </c>
      <c r="F528" s="184">
        <v>0</v>
      </c>
      <c r="G528" s="184">
        <v>0</v>
      </c>
      <c r="H528" s="184">
        <v>0</v>
      </c>
      <c r="I528" s="184">
        <v>0</v>
      </c>
      <c r="J528" s="184">
        <v>0</v>
      </c>
      <c r="K528" s="184">
        <v>0</v>
      </c>
      <c r="L528" s="184">
        <v>0</v>
      </c>
      <c r="M528" s="654" t="s">
        <v>24</v>
      </c>
      <c r="N528" s="669" t="s">
        <v>124</v>
      </c>
      <c r="O528" s="642">
        <v>0</v>
      </c>
      <c r="P528" s="184">
        <v>0</v>
      </c>
      <c r="Q528" s="184">
        <v>0</v>
      </c>
      <c r="R528" s="184">
        <v>0</v>
      </c>
      <c r="S528" s="184">
        <v>1</v>
      </c>
      <c r="T528" s="184">
        <v>1</v>
      </c>
      <c r="U528" s="184">
        <v>3</v>
      </c>
      <c r="V528" s="184">
        <v>0</v>
      </c>
      <c r="W528" s="184">
        <v>0</v>
      </c>
      <c r="X528" s="184">
        <v>0</v>
      </c>
      <c r="Y528" s="184">
        <v>0</v>
      </c>
      <c r="Z528" s="184">
        <v>0</v>
      </c>
      <c r="AA528" s="184">
        <v>0</v>
      </c>
      <c r="AB528" s="184">
        <v>0</v>
      </c>
      <c r="AC528" s="185">
        <v>34.1</v>
      </c>
      <c r="AD528" s="185" t="s">
        <v>24</v>
      </c>
      <c r="AE528" s="184">
        <v>0</v>
      </c>
      <c r="AF528" s="185">
        <v>0</v>
      </c>
      <c r="AG528" s="184">
        <v>0</v>
      </c>
      <c r="AH528" s="185">
        <v>0</v>
      </c>
      <c r="AI528" s="184">
        <v>0</v>
      </c>
      <c r="AJ528" s="643">
        <v>0</v>
      </c>
    </row>
    <row r="529" spans="1:36" x14ac:dyDescent="0.2">
      <c r="A529" s="190" t="s">
        <v>125</v>
      </c>
      <c r="B529" s="642">
        <v>4</v>
      </c>
      <c r="C529" s="184">
        <v>0</v>
      </c>
      <c r="D529" s="184">
        <v>4</v>
      </c>
      <c r="E529" s="184">
        <v>0</v>
      </c>
      <c r="F529" s="184">
        <v>0</v>
      </c>
      <c r="G529" s="184">
        <v>0</v>
      </c>
      <c r="H529" s="184">
        <v>0</v>
      </c>
      <c r="I529" s="184">
        <v>0</v>
      </c>
      <c r="J529" s="184">
        <v>0</v>
      </c>
      <c r="K529" s="184">
        <v>0</v>
      </c>
      <c r="L529" s="184">
        <v>0</v>
      </c>
      <c r="M529" s="654" t="s">
        <v>24</v>
      </c>
      <c r="N529" s="669" t="s">
        <v>125</v>
      </c>
      <c r="O529" s="642">
        <v>0</v>
      </c>
      <c r="P529" s="184">
        <v>0</v>
      </c>
      <c r="Q529" s="184">
        <v>0</v>
      </c>
      <c r="R529" s="184">
        <v>0</v>
      </c>
      <c r="S529" s="184">
        <v>0</v>
      </c>
      <c r="T529" s="184">
        <v>0</v>
      </c>
      <c r="U529" s="184">
        <v>0</v>
      </c>
      <c r="V529" s="184">
        <v>2</v>
      </c>
      <c r="W529" s="184">
        <v>1</v>
      </c>
      <c r="X529" s="184">
        <v>1</v>
      </c>
      <c r="Y529" s="184">
        <v>0</v>
      </c>
      <c r="Z529" s="184">
        <v>0</v>
      </c>
      <c r="AA529" s="184">
        <v>0</v>
      </c>
      <c r="AB529" s="184">
        <v>0</v>
      </c>
      <c r="AC529" s="185">
        <v>47.3</v>
      </c>
      <c r="AD529" s="185" t="s">
        <v>24</v>
      </c>
      <c r="AE529" s="184">
        <v>0</v>
      </c>
      <c r="AF529" s="185">
        <v>0</v>
      </c>
      <c r="AG529" s="184">
        <v>0</v>
      </c>
      <c r="AH529" s="185">
        <v>0</v>
      </c>
      <c r="AI529" s="184">
        <v>0</v>
      </c>
      <c r="AJ529" s="643">
        <v>0</v>
      </c>
    </row>
    <row r="530" spans="1:36" x14ac:dyDescent="0.2">
      <c r="A530" s="190" t="s">
        <v>126</v>
      </c>
      <c r="B530" s="642">
        <v>4</v>
      </c>
      <c r="C530" s="184">
        <v>0</v>
      </c>
      <c r="D530" s="184">
        <v>4</v>
      </c>
      <c r="E530" s="184">
        <v>0</v>
      </c>
      <c r="F530" s="184">
        <v>0</v>
      </c>
      <c r="G530" s="184">
        <v>0</v>
      </c>
      <c r="H530" s="184">
        <v>0</v>
      </c>
      <c r="I530" s="184">
        <v>0</v>
      </c>
      <c r="J530" s="184">
        <v>0</v>
      </c>
      <c r="K530" s="184">
        <v>0</v>
      </c>
      <c r="L530" s="184">
        <v>0</v>
      </c>
      <c r="M530" s="654" t="s">
        <v>24</v>
      </c>
      <c r="N530" s="669" t="s">
        <v>126</v>
      </c>
      <c r="O530" s="642">
        <v>0</v>
      </c>
      <c r="P530" s="184">
        <v>0</v>
      </c>
      <c r="Q530" s="184">
        <v>0</v>
      </c>
      <c r="R530" s="184">
        <v>0</v>
      </c>
      <c r="S530" s="184">
        <v>0</v>
      </c>
      <c r="T530" s="184">
        <v>0</v>
      </c>
      <c r="U530" s="184">
        <v>1</v>
      </c>
      <c r="V530" s="184">
        <v>2</v>
      </c>
      <c r="W530" s="184">
        <v>0</v>
      </c>
      <c r="X530" s="184">
        <v>1</v>
      </c>
      <c r="Y530" s="184">
        <v>0</v>
      </c>
      <c r="Z530" s="184">
        <v>0</v>
      </c>
      <c r="AA530" s="184">
        <v>0</v>
      </c>
      <c r="AB530" s="184">
        <v>0</v>
      </c>
      <c r="AC530" s="185">
        <v>43.7</v>
      </c>
      <c r="AD530" s="185" t="s">
        <v>24</v>
      </c>
      <c r="AE530" s="184">
        <v>0</v>
      </c>
      <c r="AF530" s="185">
        <v>0</v>
      </c>
      <c r="AG530" s="184">
        <v>0</v>
      </c>
      <c r="AH530" s="185">
        <v>0</v>
      </c>
      <c r="AI530" s="184">
        <v>0</v>
      </c>
      <c r="AJ530" s="643">
        <v>0</v>
      </c>
    </row>
    <row r="531" spans="1:36" x14ac:dyDescent="0.2">
      <c r="A531" s="190" t="s">
        <v>76</v>
      </c>
      <c r="B531" s="642">
        <v>4</v>
      </c>
      <c r="C531" s="184">
        <v>0</v>
      </c>
      <c r="D531" s="184">
        <v>4</v>
      </c>
      <c r="E531" s="184">
        <v>0</v>
      </c>
      <c r="F531" s="184">
        <v>0</v>
      </c>
      <c r="G531" s="184">
        <v>0</v>
      </c>
      <c r="H531" s="184">
        <v>0</v>
      </c>
      <c r="I531" s="184">
        <v>0</v>
      </c>
      <c r="J531" s="184">
        <v>0</v>
      </c>
      <c r="K531" s="184">
        <v>0</v>
      </c>
      <c r="L531" s="184">
        <v>0</v>
      </c>
      <c r="M531" s="654" t="s">
        <v>24</v>
      </c>
      <c r="N531" s="669" t="s">
        <v>76</v>
      </c>
      <c r="O531" s="642">
        <v>0</v>
      </c>
      <c r="P531" s="184">
        <v>0</v>
      </c>
      <c r="Q531" s="184">
        <v>0</v>
      </c>
      <c r="R531" s="184">
        <v>0</v>
      </c>
      <c r="S531" s="184">
        <v>0</v>
      </c>
      <c r="T531" s="184">
        <v>1</v>
      </c>
      <c r="U531" s="184">
        <v>1</v>
      </c>
      <c r="V531" s="184">
        <v>2</v>
      </c>
      <c r="W531" s="184">
        <v>0</v>
      </c>
      <c r="X531" s="184">
        <v>0</v>
      </c>
      <c r="Y531" s="184">
        <v>0</v>
      </c>
      <c r="Z531" s="184">
        <v>0</v>
      </c>
      <c r="AA531" s="184">
        <v>0</v>
      </c>
      <c r="AB531" s="184">
        <v>0</v>
      </c>
      <c r="AC531" s="185">
        <v>38.4</v>
      </c>
      <c r="AD531" s="185" t="s">
        <v>24</v>
      </c>
      <c r="AE531" s="184">
        <v>0</v>
      </c>
      <c r="AF531" s="185">
        <v>0</v>
      </c>
      <c r="AG531" s="184">
        <v>0</v>
      </c>
      <c r="AH531" s="185">
        <v>0</v>
      </c>
      <c r="AI531" s="184">
        <v>0</v>
      </c>
      <c r="AJ531" s="643">
        <v>0</v>
      </c>
    </row>
    <row r="532" spans="1:36" x14ac:dyDescent="0.2">
      <c r="A532" s="190" t="s">
        <v>127</v>
      </c>
      <c r="B532" s="642">
        <v>3</v>
      </c>
      <c r="C532" s="184">
        <v>0</v>
      </c>
      <c r="D532" s="184">
        <v>3</v>
      </c>
      <c r="E532" s="184">
        <v>0</v>
      </c>
      <c r="F532" s="184">
        <v>0</v>
      </c>
      <c r="G532" s="184">
        <v>0</v>
      </c>
      <c r="H532" s="184">
        <v>0</v>
      </c>
      <c r="I532" s="184">
        <v>0</v>
      </c>
      <c r="J532" s="184">
        <v>0</v>
      </c>
      <c r="K532" s="184">
        <v>0</v>
      </c>
      <c r="L532" s="184">
        <v>0</v>
      </c>
      <c r="M532" s="654" t="s">
        <v>24</v>
      </c>
      <c r="N532" s="669" t="s">
        <v>127</v>
      </c>
      <c r="O532" s="642">
        <v>0</v>
      </c>
      <c r="P532" s="184">
        <v>0</v>
      </c>
      <c r="Q532" s="184">
        <v>0</v>
      </c>
      <c r="R532" s="184">
        <v>0</v>
      </c>
      <c r="S532" s="184">
        <v>1</v>
      </c>
      <c r="T532" s="184">
        <v>0</v>
      </c>
      <c r="U532" s="184">
        <v>1</v>
      </c>
      <c r="V532" s="184">
        <v>0</v>
      </c>
      <c r="W532" s="184">
        <v>1</v>
      </c>
      <c r="X532" s="184">
        <v>0</v>
      </c>
      <c r="Y532" s="184">
        <v>0</v>
      </c>
      <c r="Z532" s="184">
        <v>0</v>
      </c>
      <c r="AA532" s="184">
        <v>0</v>
      </c>
      <c r="AB532" s="184">
        <v>0</v>
      </c>
      <c r="AC532" s="185">
        <v>38.6</v>
      </c>
      <c r="AD532" s="185" t="s">
        <v>24</v>
      </c>
      <c r="AE532" s="184">
        <v>0</v>
      </c>
      <c r="AF532" s="185">
        <v>0</v>
      </c>
      <c r="AG532" s="184">
        <v>0</v>
      </c>
      <c r="AH532" s="185">
        <v>0</v>
      </c>
      <c r="AI532" s="184">
        <v>0</v>
      </c>
      <c r="AJ532" s="643">
        <v>0</v>
      </c>
    </row>
    <row r="533" spans="1:36" x14ac:dyDescent="0.2">
      <c r="A533" s="190" t="s">
        <v>128</v>
      </c>
      <c r="B533" s="642">
        <v>4</v>
      </c>
      <c r="C533" s="184">
        <v>0</v>
      </c>
      <c r="D533" s="184">
        <v>4</v>
      </c>
      <c r="E533" s="184">
        <v>0</v>
      </c>
      <c r="F533" s="184">
        <v>0</v>
      </c>
      <c r="G533" s="184">
        <v>0</v>
      </c>
      <c r="H533" s="184">
        <v>0</v>
      </c>
      <c r="I533" s="184">
        <v>0</v>
      </c>
      <c r="J533" s="184">
        <v>0</v>
      </c>
      <c r="K533" s="184">
        <v>0</v>
      </c>
      <c r="L533" s="184">
        <v>0</v>
      </c>
      <c r="M533" s="654" t="s">
        <v>24</v>
      </c>
      <c r="N533" s="669" t="s">
        <v>128</v>
      </c>
      <c r="O533" s="642">
        <v>0</v>
      </c>
      <c r="P533" s="184">
        <v>0</v>
      </c>
      <c r="Q533" s="184">
        <v>0</v>
      </c>
      <c r="R533" s="184">
        <v>0</v>
      </c>
      <c r="S533" s="184">
        <v>0</v>
      </c>
      <c r="T533" s="184">
        <v>0</v>
      </c>
      <c r="U533" s="184">
        <v>2</v>
      </c>
      <c r="V533" s="184">
        <v>2</v>
      </c>
      <c r="W533" s="184">
        <v>0</v>
      </c>
      <c r="X533" s="184">
        <v>0</v>
      </c>
      <c r="Y533" s="184">
        <v>0</v>
      </c>
      <c r="Z533" s="184">
        <v>0</v>
      </c>
      <c r="AA533" s="184">
        <v>0</v>
      </c>
      <c r="AB533" s="184">
        <v>0</v>
      </c>
      <c r="AC533" s="185">
        <v>39</v>
      </c>
      <c r="AD533" s="185" t="s">
        <v>24</v>
      </c>
      <c r="AE533" s="184">
        <v>0</v>
      </c>
      <c r="AF533" s="185">
        <v>0</v>
      </c>
      <c r="AG533" s="184">
        <v>0</v>
      </c>
      <c r="AH533" s="185">
        <v>0</v>
      </c>
      <c r="AI533" s="184">
        <v>0</v>
      </c>
      <c r="AJ533" s="643">
        <v>0</v>
      </c>
    </row>
    <row r="534" spans="1:36" x14ac:dyDescent="0.2">
      <c r="A534" s="190" t="s">
        <v>129</v>
      </c>
      <c r="B534" s="642">
        <v>1</v>
      </c>
      <c r="C534" s="184">
        <v>0</v>
      </c>
      <c r="D534" s="184">
        <v>1</v>
      </c>
      <c r="E534" s="184">
        <v>0</v>
      </c>
      <c r="F534" s="184">
        <v>0</v>
      </c>
      <c r="G534" s="184">
        <v>0</v>
      </c>
      <c r="H534" s="184">
        <v>0</v>
      </c>
      <c r="I534" s="184">
        <v>0</v>
      </c>
      <c r="J534" s="184">
        <v>0</v>
      </c>
      <c r="K534" s="184">
        <v>0</v>
      </c>
      <c r="L534" s="184">
        <v>0</v>
      </c>
      <c r="M534" s="654" t="s">
        <v>24</v>
      </c>
      <c r="N534" s="669" t="s">
        <v>129</v>
      </c>
      <c r="O534" s="642">
        <v>0</v>
      </c>
      <c r="P534" s="184">
        <v>0</v>
      </c>
      <c r="Q534" s="184">
        <v>0</v>
      </c>
      <c r="R534" s="184">
        <v>0</v>
      </c>
      <c r="S534" s="184">
        <v>0</v>
      </c>
      <c r="T534" s="184">
        <v>1</v>
      </c>
      <c r="U534" s="184">
        <v>0</v>
      </c>
      <c r="V534" s="184">
        <v>0</v>
      </c>
      <c r="W534" s="184">
        <v>0</v>
      </c>
      <c r="X534" s="184">
        <v>0</v>
      </c>
      <c r="Y534" s="184">
        <v>0</v>
      </c>
      <c r="Z534" s="184">
        <v>0</v>
      </c>
      <c r="AA534" s="184">
        <v>0</v>
      </c>
      <c r="AB534" s="184">
        <v>0</v>
      </c>
      <c r="AC534" s="185">
        <v>34.700000000000003</v>
      </c>
      <c r="AD534" s="185" t="s">
        <v>24</v>
      </c>
      <c r="AE534" s="184">
        <v>0</v>
      </c>
      <c r="AF534" s="185">
        <v>0</v>
      </c>
      <c r="AG534" s="184">
        <v>0</v>
      </c>
      <c r="AH534" s="185">
        <v>0</v>
      </c>
      <c r="AI534" s="184">
        <v>0</v>
      </c>
      <c r="AJ534" s="643">
        <v>0</v>
      </c>
    </row>
    <row r="535" spans="1:36" x14ac:dyDescent="0.2">
      <c r="A535" s="190" t="s">
        <v>78</v>
      </c>
      <c r="B535" s="642">
        <v>2</v>
      </c>
      <c r="C535" s="184">
        <v>0</v>
      </c>
      <c r="D535" s="184">
        <v>2</v>
      </c>
      <c r="E535" s="184">
        <v>0</v>
      </c>
      <c r="F535" s="184">
        <v>0</v>
      </c>
      <c r="G535" s="184">
        <v>0</v>
      </c>
      <c r="H535" s="184">
        <v>0</v>
      </c>
      <c r="I535" s="184">
        <v>0</v>
      </c>
      <c r="J535" s="184">
        <v>0</v>
      </c>
      <c r="K535" s="184">
        <v>0</v>
      </c>
      <c r="L535" s="184">
        <v>0</v>
      </c>
      <c r="M535" s="654" t="s">
        <v>24</v>
      </c>
      <c r="N535" s="669" t="s">
        <v>78</v>
      </c>
      <c r="O535" s="642">
        <v>0</v>
      </c>
      <c r="P535" s="184">
        <v>0</v>
      </c>
      <c r="Q535" s="184">
        <v>0</v>
      </c>
      <c r="R535" s="184">
        <v>0</v>
      </c>
      <c r="S535" s="184">
        <v>0</v>
      </c>
      <c r="T535" s="184">
        <v>0</v>
      </c>
      <c r="U535" s="184">
        <v>0</v>
      </c>
      <c r="V535" s="184">
        <v>2</v>
      </c>
      <c r="W535" s="184">
        <v>0</v>
      </c>
      <c r="X535" s="184">
        <v>0</v>
      </c>
      <c r="Y535" s="184">
        <v>0</v>
      </c>
      <c r="Z535" s="184">
        <v>0</v>
      </c>
      <c r="AA535" s="184">
        <v>0</v>
      </c>
      <c r="AB535" s="184">
        <v>0</v>
      </c>
      <c r="AC535" s="185">
        <v>43.2</v>
      </c>
      <c r="AD535" s="185" t="s">
        <v>24</v>
      </c>
      <c r="AE535" s="184">
        <v>0</v>
      </c>
      <c r="AF535" s="185">
        <v>0</v>
      </c>
      <c r="AG535" s="184">
        <v>0</v>
      </c>
      <c r="AH535" s="185">
        <v>0</v>
      </c>
      <c r="AI535" s="184">
        <v>0</v>
      </c>
      <c r="AJ535" s="643">
        <v>0</v>
      </c>
    </row>
    <row r="536" spans="1:36" x14ac:dyDescent="0.2">
      <c r="A536" s="190" t="s">
        <v>130</v>
      </c>
      <c r="B536" s="642">
        <v>5</v>
      </c>
      <c r="C536" s="184">
        <v>0</v>
      </c>
      <c r="D536" s="184">
        <v>5</v>
      </c>
      <c r="E536" s="184">
        <v>0</v>
      </c>
      <c r="F536" s="184">
        <v>0</v>
      </c>
      <c r="G536" s="184">
        <v>0</v>
      </c>
      <c r="H536" s="184">
        <v>0</v>
      </c>
      <c r="I536" s="184">
        <v>0</v>
      </c>
      <c r="J536" s="184">
        <v>0</v>
      </c>
      <c r="K536" s="184">
        <v>0</v>
      </c>
      <c r="L536" s="184">
        <v>0</v>
      </c>
      <c r="M536" s="654" t="s">
        <v>24</v>
      </c>
      <c r="N536" s="669" t="s">
        <v>130</v>
      </c>
      <c r="O536" s="642">
        <v>0</v>
      </c>
      <c r="P536" s="184">
        <v>0</v>
      </c>
      <c r="Q536" s="184">
        <v>0</v>
      </c>
      <c r="R536" s="184">
        <v>0</v>
      </c>
      <c r="S536" s="184">
        <v>0</v>
      </c>
      <c r="T536" s="184">
        <v>1</v>
      </c>
      <c r="U536" s="184">
        <v>2</v>
      </c>
      <c r="V536" s="184">
        <v>0</v>
      </c>
      <c r="W536" s="184">
        <v>0</v>
      </c>
      <c r="X536" s="184">
        <v>2</v>
      </c>
      <c r="Y536" s="184">
        <v>0</v>
      </c>
      <c r="Z536" s="184">
        <v>0</v>
      </c>
      <c r="AA536" s="184">
        <v>0</v>
      </c>
      <c r="AB536" s="184">
        <v>0</v>
      </c>
      <c r="AC536" s="185">
        <v>42.6</v>
      </c>
      <c r="AD536" s="185" t="s">
        <v>24</v>
      </c>
      <c r="AE536" s="184">
        <v>0</v>
      </c>
      <c r="AF536" s="185">
        <v>0</v>
      </c>
      <c r="AG536" s="184">
        <v>0</v>
      </c>
      <c r="AH536" s="185">
        <v>0</v>
      </c>
      <c r="AI536" s="184">
        <v>0</v>
      </c>
      <c r="AJ536" s="643">
        <v>0</v>
      </c>
    </row>
    <row r="537" spans="1:36" x14ac:dyDescent="0.2">
      <c r="A537" s="190" t="s">
        <v>131</v>
      </c>
      <c r="B537" s="642">
        <v>2</v>
      </c>
      <c r="C537" s="184">
        <v>0</v>
      </c>
      <c r="D537" s="184">
        <v>2</v>
      </c>
      <c r="E537" s="184">
        <v>0</v>
      </c>
      <c r="F537" s="184">
        <v>0</v>
      </c>
      <c r="G537" s="184">
        <v>0</v>
      </c>
      <c r="H537" s="184">
        <v>0</v>
      </c>
      <c r="I537" s="184">
        <v>0</v>
      </c>
      <c r="J537" s="184">
        <v>0</v>
      </c>
      <c r="K537" s="184">
        <v>0</v>
      </c>
      <c r="L537" s="184">
        <v>0</v>
      </c>
      <c r="M537" s="654" t="s">
        <v>24</v>
      </c>
      <c r="N537" s="669" t="s">
        <v>131</v>
      </c>
      <c r="O537" s="642">
        <v>0</v>
      </c>
      <c r="P537" s="184">
        <v>0</v>
      </c>
      <c r="Q537" s="184">
        <v>0</v>
      </c>
      <c r="R537" s="184">
        <v>0</v>
      </c>
      <c r="S537" s="184">
        <v>0</v>
      </c>
      <c r="T537" s="184">
        <v>1</v>
      </c>
      <c r="U537" s="184">
        <v>0</v>
      </c>
      <c r="V537" s="184">
        <v>1</v>
      </c>
      <c r="W537" s="184">
        <v>0</v>
      </c>
      <c r="X537" s="184">
        <v>0</v>
      </c>
      <c r="Y537" s="184">
        <v>0</v>
      </c>
      <c r="Z537" s="184">
        <v>0</v>
      </c>
      <c r="AA537" s="184">
        <v>0</v>
      </c>
      <c r="AB537" s="184">
        <v>0</v>
      </c>
      <c r="AC537" s="185">
        <v>37.5</v>
      </c>
      <c r="AD537" s="185" t="s">
        <v>24</v>
      </c>
      <c r="AE537" s="184">
        <v>0</v>
      </c>
      <c r="AF537" s="185">
        <v>0</v>
      </c>
      <c r="AG537" s="184">
        <v>0</v>
      </c>
      <c r="AH537" s="185">
        <v>0</v>
      </c>
      <c r="AI537" s="184">
        <v>0</v>
      </c>
      <c r="AJ537" s="643">
        <v>0</v>
      </c>
    </row>
    <row r="538" spans="1:36" x14ac:dyDescent="0.2">
      <c r="A538" s="190" t="s">
        <v>132</v>
      </c>
      <c r="B538" s="648">
        <v>1</v>
      </c>
      <c r="C538" s="649">
        <v>0</v>
      </c>
      <c r="D538" s="649">
        <v>1</v>
      </c>
      <c r="E538" s="649">
        <v>0</v>
      </c>
      <c r="F538" s="649">
        <v>0</v>
      </c>
      <c r="G538" s="649">
        <v>0</v>
      </c>
      <c r="H538" s="649">
        <v>0</v>
      </c>
      <c r="I538" s="649">
        <v>0</v>
      </c>
      <c r="J538" s="649">
        <v>0</v>
      </c>
      <c r="K538" s="649">
        <v>0</v>
      </c>
      <c r="L538" s="649">
        <v>0</v>
      </c>
      <c r="M538" s="657" t="s">
        <v>24</v>
      </c>
      <c r="N538" s="669" t="s">
        <v>132</v>
      </c>
      <c r="O538" s="648">
        <v>0</v>
      </c>
      <c r="P538" s="649">
        <v>0</v>
      </c>
      <c r="Q538" s="649">
        <v>0</v>
      </c>
      <c r="R538" s="649">
        <v>0</v>
      </c>
      <c r="S538" s="649">
        <v>0</v>
      </c>
      <c r="T538" s="649">
        <v>0</v>
      </c>
      <c r="U538" s="649">
        <v>1</v>
      </c>
      <c r="V538" s="649">
        <v>0</v>
      </c>
      <c r="W538" s="649">
        <v>0</v>
      </c>
      <c r="X538" s="649">
        <v>0</v>
      </c>
      <c r="Y538" s="649">
        <v>0</v>
      </c>
      <c r="Z538" s="649">
        <v>0</v>
      </c>
      <c r="AA538" s="649">
        <v>0</v>
      </c>
      <c r="AB538" s="649">
        <v>0</v>
      </c>
      <c r="AC538" s="650">
        <v>36.200000000000003</v>
      </c>
      <c r="AD538" s="650" t="s">
        <v>24</v>
      </c>
      <c r="AE538" s="649">
        <v>0</v>
      </c>
      <c r="AF538" s="650">
        <v>0</v>
      </c>
      <c r="AG538" s="649">
        <v>0</v>
      </c>
      <c r="AH538" s="650">
        <v>0</v>
      </c>
      <c r="AI538" s="649">
        <v>0</v>
      </c>
      <c r="AJ538" s="651">
        <v>0</v>
      </c>
    </row>
    <row r="539" spans="1:36" x14ac:dyDescent="0.2">
      <c r="A539" s="190" t="s">
        <v>133</v>
      </c>
      <c r="B539" s="590">
        <v>484</v>
      </c>
      <c r="C539" s="591">
        <v>16</v>
      </c>
      <c r="D539" s="591">
        <v>436</v>
      </c>
      <c r="E539" s="591">
        <v>2</v>
      </c>
      <c r="F539" s="591">
        <v>28</v>
      </c>
      <c r="G539" s="591">
        <v>0</v>
      </c>
      <c r="H539" s="591">
        <v>1</v>
      </c>
      <c r="I539" s="591">
        <v>0</v>
      </c>
      <c r="J539" s="591">
        <v>1</v>
      </c>
      <c r="K539" s="591">
        <v>0</v>
      </c>
      <c r="L539" s="591">
        <v>0</v>
      </c>
      <c r="M539" s="591" t="s">
        <v>24</v>
      </c>
      <c r="N539" s="584" t="s">
        <v>133</v>
      </c>
      <c r="O539" s="591">
        <v>1</v>
      </c>
      <c r="P539" s="591">
        <v>4</v>
      </c>
      <c r="Q539" s="591">
        <v>4</v>
      </c>
      <c r="R539" s="591">
        <v>17</v>
      </c>
      <c r="S539" s="591">
        <v>43</v>
      </c>
      <c r="T539" s="591">
        <v>93</v>
      </c>
      <c r="U539" s="591">
        <v>115</v>
      </c>
      <c r="V539" s="591">
        <v>114</v>
      </c>
      <c r="W539" s="591">
        <v>58</v>
      </c>
      <c r="X539" s="591">
        <v>31</v>
      </c>
      <c r="Y539" s="591">
        <v>3</v>
      </c>
      <c r="Z539" s="591">
        <v>1</v>
      </c>
      <c r="AA539" s="591">
        <v>0</v>
      </c>
      <c r="AB539" s="591">
        <v>0</v>
      </c>
      <c r="AC539" s="606">
        <v>38.854166666666657</v>
      </c>
      <c r="AD539" s="606">
        <v>45.466666666666661</v>
      </c>
      <c r="AE539" s="591">
        <v>4</v>
      </c>
      <c r="AF539" s="606">
        <v>1.2351190476190477</v>
      </c>
      <c r="AG539" s="591">
        <v>1</v>
      </c>
      <c r="AH539" s="606">
        <v>0.26041666666666669</v>
      </c>
      <c r="AI539" s="591">
        <v>1</v>
      </c>
      <c r="AJ539" s="607">
        <v>0.26041666666666669</v>
      </c>
    </row>
    <row r="540" spans="1:36" x14ac:dyDescent="0.2">
      <c r="A540" s="190" t="s">
        <v>134</v>
      </c>
      <c r="B540" s="593">
        <v>556</v>
      </c>
      <c r="C540" s="181">
        <v>17</v>
      </c>
      <c r="D540" s="181">
        <v>503</v>
      </c>
      <c r="E540" s="181">
        <v>2</v>
      </c>
      <c r="F540" s="181">
        <v>32</v>
      </c>
      <c r="G540" s="181">
        <v>0</v>
      </c>
      <c r="H540" s="181">
        <v>1</v>
      </c>
      <c r="I540" s="181">
        <v>0</v>
      </c>
      <c r="J540" s="181">
        <v>1</v>
      </c>
      <c r="K540" s="181">
        <v>0</v>
      </c>
      <c r="L540" s="181">
        <v>0</v>
      </c>
      <c r="M540" s="181" t="s">
        <v>24</v>
      </c>
      <c r="N540" s="585" t="s">
        <v>134</v>
      </c>
      <c r="O540" s="181">
        <v>1</v>
      </c>
      <c r="P540" s="181">
        <v>5</v>
      </c>
      <c r="Q540" s="181">
        <v>5</v>
      </c>
      <c r="R540" s="181">
        <v>18</v>
      </c>
      <c r="S540" s="181">
        <v>47</v>
      </c>
      <c r="T540" s="181">
        <v>97</v>
      </c>
      <c r="U540" s="181">
        <v>129</v>
      </c>
      <c r="V540" s="181">
        <v>140</v>
      </c>
      <c r="W540" s="181">
        <v>68</v>
      </c>
      <c r="X540" s="181">
        <v>41</v>
      </c>
      <c r="Y540" s="181">
        <v>4</v>
      </c>
      <c r="Z540" s="181">
        <v>1</v>
      </c>
      <c r="AA540" s="181">
        <v>0</v>
      </c>
      <c r="AB540" s="181">
        <v>0</v>
      </c>
      <c r="AC540" s="182">
        <v>39.266666666666659</v>
      </c>
      <c r="AD540" s="182">
        <v>45.786363636363632</v>
      </c>
      <c r="AE540" s="181">
        <v>5</v>
      </c>
      <c r="AF540" s="182">
        <v>1.4471726190476191</v>
      </c>
      <c r="AG540" s="181">
        <v>1</v>
      </c>
      <c r="AH540" s="182">
        <v>0.1953125</v>
      </c>
      <c r="AI540" s="181">
        <v>1</v>
      </c>
      <c r="AJ540" s="608">
        <v>0.1953125</v>
      </c>
    </row>
    <row r="541" spans="1:36" x14ac:dyDescent="0.2">
      <c r="A541" s="190" t="s">
        <v>135</v>
      </c>
      <c r="B541" s="593">
        <v>578</v>
      </c>
      <c r="C541" s="181">
        <v>17</v>
      </c>
      <c r="D541" s="181">
        <v>525</v>
      </c>
      <c r="E541" s="181">
        <v>2</v>
      </c>
      <c r="F541" s="181">
        <v>32</v>
      </c>
      <c r="G541" s="181">
        <v>0</v>
      </c>
      <c r="H541" s="181">
        <v>1</v>
      </c>
      <c r="I541" s="181">
        <v>0</v>
      </c>
      <c r="J541" s="181">
        <v>1</v>
      </c>
      <c r="K541" s="181">
        <v>0</v>
      </c>
      <c r="L541" s="181">
        <v>0</v>
      </c>
      <c r="M541" s="181" t="s">
        <v>24</v>
      </c>
      <c r="N541" s="585" t="s">
        <v>135</v>
      </c>
      <c r="O541" s="181">
        <v>1</v>
      </c>
      <c r="P541" s="181">
        <v>5</v>
      </c>
      <c r="Q541" s="181">
        <v>5</v>
      </c>
      <c r="R541" s="181">
        <v>18</v>
      </c>
      <c r="S541" s="181">
        <v>48</v>
      </c>
      <c r="T541" s="181">
        <v>101</v>
      </c>
      <c r="U541" s="181">
        <v>136</v>
      </c>
      <c r="V541" s="181">
        <v>147</v>
      </c>
      <c r="W541" s="181">
        <v>69</v>
      </c>
      <c r="X541" s="181">
        <v>43</v>
      </c>
      <c r="Y541" s="181">
        <v>4</v>
      </c>
      <c r="Z541" s="181">
        <v>1</v>
      </c>
      <c r="AA541" s="181">
        <v>0</v>
      </c>
      <c r="AB541" s="181">
        <v>0</v>
      </c>
      <c r="AC541" s="182">
        <v>39.211267605633786</v>
      </c>
      <c r="AD541" s="182">
        <v>45.786363636363632</v>
      </c>
      <c r="AE541" s="181">
        <v>5</v>
      </c>
      <c r="AF541" s="182">
        <v>1.2863756613756614</v>
      </c>
      <c r="AG541" s="181">
        <v>1</v>
      </c>
      <c r="AH541" s="182">
        <v>0.1736111111111111</v>
      </c>
      <c r="AI541" s="181">
        <v>1</v>
      </c>
      <c r="AJ541" s="608">
        <v>0.1736111111111111</v>
      </c>
    </row>
    <row r="542" spans="1:36" x14ac:dyDescent="0.2">
      <c r="A542" s="190" t="s">
        <v>136</v>
      </c>
      <c r="B542" s="595">
        <v>589</v>
      </c>
      <c r="C542" s="596">
        <v>17</v>
      </c>
      <c r="D542" s="596">
        <v>536</v>
      </c>
      <c r="E542" s="596">
        <v>2</v>
      </c>
      <c r="F542" s="596">
        <v>32</v>
      </c>
      <c r="G542" s="596">
        <v>0</v>
      </c>
      <c r="H542" s="596">
        <v>1</v>
      </c>
      <c r="I542" s="596">
        <v>0</v>
      </c>
      <c r="J542" s="596">
        <v>1</v>
      </c>
      <c r="K542" s="596">
        <v>0</v>
      </c>
      <c r="L542" s="596">
        <v>0</v>
      </c>
      <c r="M542" s="596" t="s">
        <v>24</v>
      </c>
      <c r="N542" s="586" t="s">
        <v>136</v>
      </c>
      <c r="O542" s="596">
        <v>1</v>
      </c>
      <c r="P542" s="596">
        <v>5</v>
      </c>
      <c r="Q542" s="596">
        <v>5</v>
      </c>
      <c r="R542" s="596">
        <v>18</v>
      </c>
      <c r="S542" s="596">
        <v>48</v>
      </c>
      <c r="T542" s="596">
        <v>102</v>
      </c>
      <c r="U542" s="596">
        <v>140</v>
      </c>
      <c r="V542" s="596">
        <v>152</v>
      </c>
      <c r="W542" s="596">
        <v>70</v>
      </c>
      <c r="X542" s="596">
        <v>43</v>
      </c>
      <c r="Y542" s="596">
        <v>4</v>
      </c>
      <c r="Z542" s="596">
        <v>1</v>
      </c>
      <c r="AA542" s="596">
        <v>0</v>
      </c>
      <c r="AB542" s="596">
        <v>0</v>
      </c>
      <c r="AC542" s="609">
        <v>39.353164556962007</v>
      </c>
      <c r="AD542" s="609">
        <v>45.786363636363632</v>
      </c>
      <c r="AE542" s="596">
        <v>5</v>
      </c>
      <c r="AF542" s="609">
        <v>0.96478174603174605</v>
      </c>
      <c r="AG542" s="596">
        <v>1</v>
      </c>
      <c r="AH542" s="609">
        <v>0.13020833333333334</v>
      </c>
      <c r="AI542" s="596">
        <v>1</v>
      </c>
      <c r="AJ542" s="610">
        <v>0.13020833333333334</v>
      </c>
    </row>
    <row r="543" spans="1:36" x14ac:dyDescent="0.2">
      <c r="A543" s="190"/>
      <c r="B543" s="660"/>
      <c r="C543" s="661"/>
      <c r="D543" s="661"/>
      <c r="E543" s="661"/>
      <c r="F543" s="661"/>
      <c r="G543" s="661"/>
      <c r="H543" s="661"/>
      <c r="I543" s="661"/>
      <c r="J543" s="661"/>
      <c r="K543" s="661"/>
      <c r="L543" s="661"/>
      <c r="M543" s="661"/>
      <c r="N543" s="662"/>
      <c r="O543" s="661"/>
      <c r="P543" s="661"/>
      <c r="Q543" s="661"/>
      <c r="R543" s="661"/>
      <c r="S543" s="661"/>
      <c r="T543" s="661"/>
      <c r="U543" s="661"/>
      <c r="V543" s="661"/>
      <c r="W543" s="661"/>
      <c r="X543" s="661"/>
      <c r="Y543" s="661"/>
      <c r="Z543" s="661"/>
      <c r="AA543" s="661"/>
      <c r="AB543" s="661"/>
      <c r="AC543" s="663"/>
      <c r="AD543" s="663"/>
      <c r="AE543" s="661"/>
      <c r="AF543" s="663"/>
      <c r="AG543" s="661"/>
      <c r="AH543" s="663"/>
      <c r="AI543" s="661"/>
      <c r="AJ543" s="663"/>
    </row>
    <row r="544" spans="1:36" x14ac:dyDescent="0.2">
      <c r="A544" s="190"/>
      <c r="B544" s="664"/>
      <c r="C544" s="169"/>
      <c r="D544" s="169"/>
      <c r="E544" s="169"/>
      <c r="F544" s="169"/>
      <c r="G544" s="169"/>
      <c r="H544" s="169"/>
      <c r="I544" s="169"/>
      <c r="J544" s="169"/>
      <c r="K544" s="169"/>
      <c r="L544" s="169"/>
      <c r="M544" s="169"/>
      <c r="N544" s="178"/>
      <c r="O544" s="169"/>
      <c r="P544" s="169"/>
      <c r="Q544" s="169"/>
      <c r="R544" s="169"/>
      <c r="S544" s="169"/>
      <c r="T544" s="169"/>
      <c r="U544" s="169"/>
      <c r="V544" s="169"/>
      <c r="W544" s="169"/>
      <c r="X544" s="169"/>
      <c r="Y544" s="169"/>
      <c r="Z544" s="169"/>
      <c r="AA544" s="169"/>
      <c r="AB544" s="169"/>
      <c r="AC544" s="177"/>
      <c r="AD544" s="177"/>
      <c r="AE544" s="169"/>
      <c r="AF544" s="177"/>
      <c r="AG544" s="169"/>
      <c r="AH544" s="177"/>
      <c r="AI544" s="169"/>
      <c r="AJ544" s="177"/>
    </row>
    <row r="545" spans="1:36" x14ac:dyDescent="0.2">
      <c r="A545" s="658">
        <f>A438+1</f>
        <v>43268</v>
      </c>
      <c r="B545" s="664"/>
      <c r="C545" s="169"/>
      <c r="D545" s="169"/>
      <c r="E545" s="169"/>
      <c r="F545" s="169"/>
      <c r="G545" s="169"/>
      <c r="H545" s="169"/>
      <c r="I545" s="169"/>
      <c r="J545" s="169"/>
      <c r="K545" s="169"/>
      <c r="L545" s="169"/>
      <c r="M545" s="169"/>
      <c r="N545" s="178"/>
      <c r="O545" s="169"/>
      <c r="P545" s="169"/>
      <c r="Q545" s="169"/>
      <c r="R545" s="169"/>
      <c r="S545" s="169"/>
      <c r="T545" s="169"/>
      <c r="U545" s="169"/>
      <c r="V545" s="169"/>
      <c r="W545" s="169"/>
      <c r="X545" s="169"/>
      <c r="Y545" s="169"/>
      <c r="Z545" s="169"/>
      <c r="AA545" s="169"/>
      <c r="AB545" s="169"/>
      <c r="AC545" s="177"/>
      <c r="AD545" s="177"/>
      <c r="AE545" s="169"/>
      <c r="AF545" s="177"/>
      <c r="AG545" s="169"/>
      <c r="AH545" s="177"/>
      <c r="AI545" s="169"/>
      <c r="AJ545" s="177"/>
    </row>
    <row r="546" spans="1:36" x14ac:dyDescent="0.2">
      <c r="A546" s="190"/>
      <c r="B546" s="665"/>
      <c r="C546" s="666"/>
      <c r="D546" s="666"/>
      <c r="E546" s="666"/>
      <c r="F546" s="666"/>
      <c r="G546" s="666"/>
      <c r="H546" s="666"/>
      <c r="I546" s="666"/>
      <c r="J546" s="666"/>
      <c r="K546" s="666"/>
      <c r="L546" s="666"/>
      <c r="M546" s="666"/>
      <c r="N546" s="667"/>
      <c r="O546" s="666"/>
      <c r="P546" s="666"/>
      <c r="Q546" s="666"/>
      <c r="R546" s="666"/>
      <c r="S546" s="666"/>
      <c r="T546" s="666"/>
      <c r="U546" s="666"/>
      <c r="V546" s="666"/>
      <c r="W546" s="666"/>
      <c r="X546" s="666"/>
      <c r="Y546" s="666"/>
      <c r="Z546" s="666"/>
      <c r="AA546" s="666"/>
      <c r="AB546" s="666"/>
      <c r="AC546" s="668"/>
      <c r="AD546" s="668"/>
      <c r="AE546" s="666"/>
      <c r="AF546" s="668"/>
      <c r="AG546" s="666"/>
      <c r="AH546" s="668"/>
      <c r="AI546" s="666"/>
      <c r="AJ546" s="668"/>
    </row>
    <row r="547" spans="1:36" x14ac:dyDescent="0.2">
      <c r="A547" s="565" t="s">
        <v>255</v>
      </c>
      <c r="B547" s="568" t="s">
        <v>0</v>
      </c>
      <c r="C547" s="569" t="s">
        <v>442</v>
      </c>
      <c r="D547" s="569" t="s">
        <v>215</v>
      </c>
      <c r="E547" s="569" t="s">
        <v>443</v>
      </c>
      <c r="F547" s="569" t="s">
        <v>444</v>
      </c>
      <c r="G547" s="569" t="s">
        <v>445</v>
      </c>
      <c r="H547" s="569" t="s">
        <v>446</v>
      </c>
      <c r="I547" s="569" t="s">
        <v>447</v>
      </c>
      <c r="J547" s="569" t="s">
        <v>448</v>
      </c>
      <c r="K547" s="569" t="s">
        <v>449</v>
      </c>
      <c r="L547" s="569" t="s">
        <v>450</v>
      </c>
      <c r="M547" s="569"/>
      <c r="N547" s="584" t="s">
        <v>11</v>
      </c>
      <c r="O547" s="569" t="s">
        <v>268</v>
      </c>
      <c r="P547" s="569" t="s">
        <v>269</v>
      </c>
      <c r="Q547" s="569" t="s">
        <v>270</v>
      </c>
      <c r="R547" s="569" t="s">
        <v>271</v>
      </c>
      <c r="S547" s="569" t="s">
        <v>272</v>
      </c>
      <c r="T547" s="569" t="s">
        <v>273</v>
      </c>
      <c r="U547" s="569" t="s">
        <v>274</v>
      </c>
      <c r="V547" s="569" t="s">
        <v>275</v>
      </c>
      <c r="W547" s="569" t="s">
        <v>276</v>
      </c>
      <c r="X547" s="569" t="s">
        <v>277</v>
      </c>
      <c r="Y547" s="569" t="s">
        <v>278</v>
      </c>
      <c r="Z547" s="569" t="s">
        <v>279</v>
      </c>
      <c r="AA547" s="569" t="s">
        <v>280</v>
      </c>
      <c r="AB547" s="569" t="s">
        <v>281</v>
      </c>
      <c r="AC547" s="620" t="s">
        <v>258</v>
      </c>
      <c r="AD547" s="620" t="s">
        <v>13</v>
      </c>
      <c r="AE547" s="569" t="s">
        <v>166</v>
      </c>
      <c r="AF547" s="620" t="s">
        <v>259</v>
      </c>
      <c r="AG547" s="621" t="s">
        <v>260</v>
      </c>
      <c r="AH547" s="622" t="s">
        <v>261</v>
      </c>
      <c r="AI547" s="621" t="s">
        <v>262</v>
      </c>
      <c r="AJ547" s="623" t="s">
        <v>263</v>
      </c>
    </row>
    <row r="548" spans="1:36" x14ac:dyDescent="0.2">
      <c r="A548" s="190" t="s">
        <v>24</v>
      </c>
      <c r="B548" s="571" t="s">
        <v>24</v>
      </c>
      <c r="C548" s="179" t="s">
        <v>25</v>
      </c>
      <c r="D548" s="179" t="s">
        <v>26</v>
      </c>
      <c r="E548" s="179" t="s">
        <v>27</v>
      </c>
      <c r="F548" s="179" t="s">
        <v>28</v>
      </c>
      <c r="G548" s="179" t="s">
        <v>29</v>
      </c>
      <c r="H548" s="179" t="s">
        <v>30</v>
      </c>
      <c r="I548" s="179" t="s">
        <v>31</v>
      </c>
      <c r="J548" s="179" t="s">
        <v>32</v>
      </c>
      <c r="K548" s="179" t="s">
        <v>33</v>
      </c>
      <c r="L548" s="179" t="s">
        <v>34</v>
      </c>
      <c r="M548" s="179" t="s">
        <v>24</v>
      </c>
      <c r="N548" s="585" t="s">
        <v>24</v>
      </c>
      <c r="O548" s="179" t="s">
        <v>451</v>
      </c>
      <c r="P548" s="179" t="s">
        <v>34</v>
      </c>
      <c r="Q548" s="179" t="s">
        <v>452</v>
      </c>
      <c r="R548" s="179" t="s">
        <v>453</v>
      </c>
      <c r="S548" s="179" t="s">
        <v>454</v>
      </c>
      <c r="T548" s="179" t="s">
        <v>455</v>
      </c>
      <c r="U548" s="179" t="s">
        <v>456</v>
      </c>
      <c r="V548" s="179" t="s">
        <v>457</v>
      </c>
      <c r="W548" s="179" t="s">
        <v>458</v>
      </c>
      <c r="X548" s="179" t="s">
        <v>459</v>
      </c>
      <c r="Y548" s="179" t="s">
        <v>460</v>
      </c>
      <c r="Z548" s="179" t="s">
        <v>461</v>
      </c>
      <c r="AA548" s="179" t="s">
        <v>462</v>
      </c>
      <c r="AB548" s="179" t="s">
        <v>463</v>
      </c>
      <c r="AC548" s="180"/>
      <c r="AD548" s="180">
        <v>0</v>
      </c>
      <c r="AE548" s="179">
        <v>60</v>
      </c>
      <c r="AF548" s="179">
        <v>60</v>
      </c>
      <c r="AG548" s="225">
        <v>65</v>
      </c>
      <c r="AH548" s="225">
        <v>65</v>
      </c>
      <c r="AI548" s="225">
        <v>75</v>
      </c>
      <c r="AJ548" s="624">
        <v>75</v>
      </c>
    </row>
    <row r="549" spans="1:36" ht="13.5" thickBot="1" x14ac:dyDescent="0.25">
      <c r="A549" s="190" t="s">
        <v>24</v>
      </c>
      <c r="B549" s="571" t="s">
        <v>24</v>
      </c>
      <c r="C549" s="574" t="s">
        <v>24</v>
      </c>
      <c r="D549" s="574" t="s">
        <v>24</v>
      </c>
      <c r="E549" s="574" t="s">
        <v>24</v>
      </c>
      <c r="F549" s="574" t="s">
        <v>24</v>
      </c>
      <c r="G549" s="574" t="s">
        <v>24</v>
      </c>
      <c r="H549" s="574" t="s">
        <v>24</v>
      </c>
      <c r="I549" s="574" t="s">
        <v>24</v>
      </c>
      <c r="J549" s="574" t="s">
        <v>24</v>
      </c>
      <c r="K549" s="574" t="s">
        <v>24</v>
      </c>
      <c r="L549" s="574" t="s">
        <v>24</v>
      </c>
      <c r="M549" s="574" t="s">
        <v>24</v>
      </c>
      <c r="N549" s="586" t="s">
        <v>24</v>
      </c>
      <c r="O549" s="574" t="s">
        <v>34</v>
      </c>
      <c r="P549" s="574" t="s">
        <v>452</v>
      </c>
      <c r="Q549" s="574" t="s">
        <v>453</v>
      </c>
      <c r="R549" s="574" t="s">
        <v>454</v>
      </c>
      <c r="S549" s="574" t="s">
        <v>455</v>
      </c>
      <c r="T549" s="574" t="s">
        <v>456</v>
      </c>
      <c r="U549" s="574" t="s">
        <v>457</v>
      </c>
      <c r="V549" s="574" t="s">
        <v>458</v>
      </c>
      <c r="W549" s="574" t="s">
        <v>459</v>
      </c>
      <c r="X549" s="574" t="s">
        <v>460</v>
      </c>
      <c r="Y549" s="574" t="s">
        <v>461</v>
      </c>
      <c r="Z549" s="574" t="s">
        <v>462</v>
      </c>
      <c r="AA549" s="574" t="s">
        <v>463</v>
      </c>
      <c r="AB549" s="574" t="s">
        <v>464</v>
      </c>
      <c r="AC549" s="625"/>
      <c r="AD549" s="625"/>
      <c r="AE549" s="574"/>
      <c r="AF549" s="625"/>
      <c r="AG549" s="626" t="s">
        <v>35</v>
      </c>
      <c r="AH549" s="627" t="s">
        <v>35</v>
      </c>
      <c r="AI549" s="626" t="s">
        <v>36</v>
      </c>
      <c r="AJ549" s="628" t="s">
        <v>36</v>
      </c>
    </row>
    <row r="550" spans="1:36" ht="13.5" thickBot="1" x14ac:dyDescent="0.25">
      <c r="A550" s="190" t="s">
        <v>37</v>
      </c>
      <c r="B550" s="691">
        <v>2</v>
      </c>
      <c r="C550" s="567">
        <v>0</v>
      </c>
      <c r="D550" s="186">
        <v>2</v>
      </c>
      <c r="E550" s="186">
        <v>0</v>
      </c>
      <c r="F550" s="186">
        <v>0</v>
      </c>
      <c r="G550" s="186">
        <v>0</v>
      </c>
      <c r="H550" s="186">
        <v>0</v>
      </c>
      <c r="I550" s="186">
        <v>0</v>
      </c>
      <c r="J550" s="186">
        <v>0</v>
      </c>
      <c r="K550" s="186">
        <v>0</v>
      </c>
      <c r="L550" s="186">
        <v>0</v>
      </c>
      <c r="M550" s="656" t="s">
        <v>24</v>
      </c>
      <c r="N550" s="669" t="s">
        <v>37</v>
      </c>
      <c r="O550" s="646">
        <v>0</v>
      </c>
      <c r="P550" s="186">
        <v>0</v>
      </c>
      <c r="Q550" s="186">
        <v>0</v>
      </c>
      <c r="R550" s="186">
        <v>0</v>
      </c>
      <c r="S550" s="186">
        <v>0</v>
      </c>
      <c r="T550" s="186">
        <v>0</v>
      </c>
      <c r="U550" s="186">
        <v>0</v>
      </c>
      <c r="V550" s="186">
        <v>1</v>
      </c>
      <c r="W550" s="186">
        <v>0</v>
      </c>
      <c r="X550" s="186">
        <v>1</v>
      </c>
      <c r="Y550" s="186">
        <v>0</v>
      </c>
      <c r="Z550" s="186">
        <v>0</v>
      </c>
      <c r="AA550" s="186">
        <v>0</v>
      </c>
      <c r="AB550" s="186">
        <v>0</v>
      </c>
      <c r="AC550" s="187">
        <v>49.2</v>
      </c>
      <c r="AD550" s="187" t="s">
        <v>24</v>
      </c>
      <c r="AE550" s="186">
        <v>0</v>
      </c>
      <c r="AF550" s="187">
        <v>0</v>
      </c>
      <c r="AG550" s="186">
        <v>0</v>
      </c>
      <c r="AH550" s="187">
        <v>0</v>
      </c>
      <c r="AI550" s="186">
        <v>0</v>
      </c>
      <c r="AJ550" s="647">
        <v>0</v>
      </c>
    </row>
    <row r="551" spans="1:36" x14ac:dyDescent="0.2">
      <c r="A551" s="190" t="s">
        <v>38</v>
      </c>
      <c r="B551" s="646">
        <v>0</v>
      </c>
      <c r="C551" s="184">
        <v>0</v>
      </c>
      <c r="D551" s="184">
        <v>0</v>
      </c>
      <c r="E551" s="184">
        <v>0</v>
      </c>
      <c r="F551" s="184">
        <v>0</v>
      </c>
      <c r="G551" s="184">
        <v>0</v>
      </c>
      <c r="H551" s="184">
        <v>0</v>
      </c>
      <c r="I551" s="184">
        <v>0</v>
      </c>
      <c r="J551" s="184">
        <v>0</v>
      </c>
      <c r="K551" s="184">
        <v>0</v>
      </c>
      <c r="L551" s="184">
        <v>0</v>
      </c>
      <c r="M551" s="654" t="s">
        <v>24</v>
      </c>
      <c r="N551" s="669" t="s">
        <v>38</v>
      </c>
      <c r="O551" s="642">
        <v>0</v>
      </c>
      <c r="P551" s="184">
        <v>0</v>
      </c>
      <c r="Q551" s="184">
        <v>0</v>
      </c>
      <c r="R551" s="184">
        <v>0</v>
      </c>
      <c r="S551" s="184">
        <v>0</v>
      </c>
      <c r="T551" s="184">
        <v>0</v>
      </c>
      <c r="U551" s="184">
        <v>0</v>
      </c>
      <c r="V551" s="184">
        <v>0</v>
      </c>
      <c r="W551" s="184">
        <v>0</v>
      </c>
      <c r="X551" s="184">
        <v>0</v>
      </c>
      <c r="Y551" s="184">
        <v>0</v>
      </c>
      <c r="Z551" s="184">
        <v>0</v>
      </c>
      <c r="AA551" s="184">
        <v>0</v>
      </c>
      <c r="AB551" s="184">
        <v>0</v>
      </c>
      <c r="AC551" s="185" t="s">
        <v>24</v>
      </c>
      <c r="AD551" s="185" t="s">
        <v>24</v>
      </c>
      <c r="AE551" s="184">
        <v>0</v>
      </c>
      <c r="AF551" s="185">
        <v>0</v>
      </c>
      <c r="AG551" s="184">
        <v>0</v>
      </c>
      <c r="AH551" s="185">
        <v>0</v>
      </c>
      <c r="AI551" s="184">
        <v>0</v>
      </c>
      <c r="AJ551" s="643">
        <v>0</v>
      </c>
    </row>
    <row r="552" spans="1:36" x14ac:dyDescent="0.2">
      <c r="A552" s="190" t="s">
        <v>40</v>
      </c>
      <c r="B552" s="642">
        <v>0</v>
      </c>
      <c r="C552" s="184">
        <v>0</v>
      </c>
      <c r="D552" s="184">
        <v>0</v>
      </c>
      <c r="E552" s="184">
        <v>0</v>
      </c>
      <c r="F552" s="184">
        <v>0</v>
      </c>
      <c r="G552" s="184">
        <v>0</v>
      </c>
      <c r="H552" s="184">
        <v>0</v>
      </c>
      <c r="I552" s="184">
        <v>0</v>
      </c>
      <c r="J552" s="184">
        <v>0</v>
      </c>
      <c r="K552" s="184">
        <v>0</v>
      </c>
      <c r="L552" s="184">
        <v>0</v>
      </c>
      <c r="M552" s="654" t="s">
        <v>24</v>
      </c>
      <c r="N552" s="669" t="s">
        <v>40</v>
      </c>
      <c r="O552" s="642">
        <v>0</v>
      </c>
      <c r="P552" s="184">
        <v>0</v>
      </c>
      <c r="Q552" s="184">
        <v>0</v>
      </c>
      <c r="R552" s="184">
        <v>0</v>
      </c>
      <c r="S552" s="184">
        <v>0</v>
      </c>
      <c r="T552" s="184">
        <v>0</v>
      </c>
      <c r="U552" s="184">
        <v>0</v>
      </c>
      <c r="V552" s="184">
        <v>0</v>
      </c>
      <c r="W552" s="184">
        <v>0</v>
      </c>
      <c r="X552" s="184">
        <v>0</v>
      </c>
      <c r="Y552" s="184">
        <v>0</v>
      </c>
      <c r="Z552" s="184">
        <v>0</v>
      </c>
      <c r="AA552" s="184">
        <v>0</v>
      </c>
      <c r="AB552" s="184">
        <v>0</v>
      </c>
      <c r="AC552" s="185" t="s">
        <v>24</v>
      </c>
      <c r="AD552" s="185" t="s">
        <v>24</v>
      </c>
      <c r="AE552" s="184">
        <v>0</v>
      </c>
      <c r="AF552" s="185">
        <v>0</v>
      </c>
      <c r="AG552" s="184">
        <v>0</v>
      </c>
      <c r="AH552" s="185">
        <v>0</v>
      </c>
      <c r="AI552" s="184">
        <v>0</v>
      </c>
      <c r="AJ552" s="643">
        <v>0</v>
      </c>
    </row>
    <row r="553" spans="1:36" x14ac:dyDescent="0.2">
      <c r="A553" s="190" t="s">
        <v>42</v>
      </c>
      <c r="B553" s="642">
        <v>0</v>
      </c>
      <c r="C553" s="184">
        <v>0</v>
      </c>
      <c r="D553" s="184">
        <v>0</v>
      </c>
      <c r="E553" s="184">
        <v>0</v>
      </c>
      <c r="F553" s="184">
        <v>0</v>
      </c>
      <c r="G553" s="184">
        <v>0</v>
      </c>
      <c r="H553" s="184">
        <v>0</v>
      </c>
      <c r="I553" s="184">
        <v>0</v>
      </c>
      <c r="J553" s="184">
        <v>0</v>
      </c>
      <c r="K553" s="184">
        <v>0</v>
      </c>
      <c r="L553" s="184">
        <v>0</v>
      </c>
      <c r="M553" s="654" t="s">
        <v>24</v>
      </c>
      <c r="N553" s="669" t="s">
        <v>42</v>
      </c>
      <c r="O553" s="642">
        <v>0</v>
      </c>
      <c r="P553" s="184">
        <v>0</v>
      </c>
      <c r="Q553" s="184">
        <v>0</v>
      </c>
      <c r="R553" s="184">
        <v>0</v>
      </c>
      <c r="S553" s="184">
        <v>0</v>
      </c>
      <c r="T553" s="184">
        <v>0</v>
      </c>
      <c r="U553" s="184">
        <v>0</v>
      </c>
      <c r="V553" s="184">
        <v>0</v>
      </c>
      <c r="W553" s="184">
        <v>0</v>
      </c>
      <c r="X553" s="184">
        <v>0</v>
      </c>
      <c r="Y553" s="184">
        <v>0</v>
      </c>
      <c r="Z553" s="184">
        <v>0</v>
      </c>
      <c r="AA553" s="184">
        <v>0</v>
      </c>
      <c r="AB553" s="184">
        <v>0</v>
      </c>
      <c r="AC553" s="185" t="s">
        <v>24</v>
      </c>
      <c r="AD553" s="185" t="s">
        <v>24</v>
      </c>
      <c r="AE553" s="184">
        <v>0</v>
      </c>
      <c r="AF553" s="185">
        <v>0</v>
      </c>
      <c r="AG553" s="184">
        <v>0</v>
      </c>
      <c r="AH553" s="185">
        <v>0</v>
      </c>
      <c r="AI553" s="184">
        <v>0</v>
      </c>
      <c r="AJ553" s="643">
        <v>0</v>
      </c>
    </row>
    <row r="554" spans="1:36" x14ac:dyDescent="0.2">
      <c r="A554" s="190" t="s">
        <v>39</v>
      </c>
      <c r="B554" s="642">
        <v>1</v>
      </c>
      <c r="C554" s="184">
        <v>0</v>
      </c>
      <c r="D554" s="184">
        <v>1</v>
      </c>
      <c r="E554" s="184">
        <v>0</v>
      </c>
      <c r="F554" s="184">
        <v>0</v>
      </c>
      <c r="G554" s="184">
        <v>0</v>
      </c>
      <c r="H554" s="184">
        <v>0</v>
      </c>
      <c r="I554" s="184">
        <v>0</v>
      </c>
      <c r="J554" s="184">
        <v>0</v>
      </c>
      <c r="K554" s="184">
        <v>0</v>
      </c>
      <c r="L554" s="184">
        <v>0</v>
      </c>
      <c r="M554" s="654" t="s">
        <v>24</v>
      </c>
      <c r="N554" s="669" t="s">
        <v>39</v>
      </c>
      <c r="O554" s="642">
        <v>0</v>
      </c>
      <c r="P554" s="184">
        <v>0</v>
      </c>
      <c r="Q554" s="184">
        <v>0</v>
      </c>
      <c r="R554" s="184">
        <v>0</v>
      </c>
      <c r="S554" s="184">
        <v>0</v>
      </c>
      <c r="T554" s="184">
        <v>0</v>
      </c>
      <c r="U554" s="184">
        <v>0</v>
      </c>
      <c r="V554" s="184">
        <v>0</v>
      </c>
      <c r="W554" s="184">
        <v>1</v>
      </c>
      <c r="X554" s="184">
        <v>0</v>
      </c>
      <c r="Y554" s="184">
        <v>0</v>
      </c>
      <c r="Z554" s="184">
        <v>0</v>
      </c>
      <c r="AA554" s="184">
        <v>0</v>
      </c>
      <c r="AB554" s="184">
        <v>0</v>
      </c>
      <c r="AC554" s="185">
        <v>50</v>
      </c>
      <c r="AD554" s="185" t="s">
        <v>24</v>
      </c>
      <c r="AE554" s="184">
        <v>0</v>
      </c>
      <c r="AF554" s="185">
        <v>0</v>
      </c>
      <c r="AG554" s="184">
        <v>0</v>
      </c>
      <c r="AH554" s="185">
        <v>0</v>
      </c>
      <c r="AI554" s="184">
        <v>0</v>
      </c>
      <c r="AJ554" s="643">
        <v>0</v>
      </c>
    </row>
    <row r="555" spans="1:36" x14ac:dyDescent="0.2">
      <c r="A555" s="190" t="s">
        <v>45</v>
      </c>
      <c r="B555" s="642">
        <v>0</v>
      </c>
      <c r="C555" s="184">
        <v>0</v>
      </c>
      <c r="D555" s="184">
        <v>0</v>
      </c>
      <c r="E555" s="184">
        <v>0</v>
      </c>
      <c r="F555" s="184">
        <v>0</v>
      </c>
      <c r="G555" s="184">
        <v>0</v>
      </c>
      <c r="H555" s="184">
        <v>0</v>
      </c>
      <c r="I555" s="184">
        <v>0</v>
      </c>
      <c r="J555" s="184">
        <v>0</v>
      </c>
      <c r="K555" s="184">
        <v>0</v>
      </c>
      <c r="L555" s="184">
        <v>0</v>
      </c>
      <c r="M555" s="654" t="s">
        <v>24</v>
      </c>
      <c r="N555" s="669" t="s">
        <v>45</v>
      </c>
      <c r="O555" s="642">
        <v>0</v>
      </c>
      <c r="P555" s="184">
        <v>0</v>
      </c>
      <c r="Q555" s="184">
        <v>0</v>
      </c>
      <c r="R555" s="184">
        <v>0</v>
      </c>
      <c r="S555" s="184">
        <v>0</v>
      </c>
      <c r="T555" s="184">
        <v>0</v>
      </c>
      <c r="U555" s="184">
        <v>0</v>
      </c>
      <c r="V555" s="184">
        <v>0</v>
      </c>
      <c r="W555" s="184">
        <v>0</v>
      </c>
      <c r="X555" s="184">
        <v>0</v>
      </c>
      <c r="Y555" s="184">
        <v>0</v>
      </c>
      <c r="Z555" s="184">
        <v>0</v>
      </c>
      <c r="AA555" s="184">
        <v>0</v>
      </c>
      <c r="AB555" s="184">
        <v>0</v>
      </c>
      <c r="AC555" s="185" t="s">
        <v>24</v>
      </c>
      <c r="AD555" s="185" t="s">
        <v>24</v>
      </c>
      <c r="AE555" s="184">
        <v>0</v>
      </c>
      <c r="AF555" s="185">
        <v>0</v>
      </c>
      <c r="AG555" s="184">
        <v>0</v>
      </c>
      <c r="AH555" s="185">
        <v>0</v>
      </c>
      <c r="AI555" s="184">
        <v>0</v>
      </c>
      <c r="AJ555" s="643">
        <v>0</v>
      </c>
    </row>
    <row r="556" spans="1:36" x14ac:dyDescent="0.2">
      <c r="A556" s="190" t="s">
        <v>47</v>
      </c>
      <c r="B556" s="642">
        <v>0</v>
      </c>
      <c r="C556" s="184">
        <v>0</v>
      </c>
      <c r="D556" s="184">
        <v>0</v>
      </c>
      <c r="E556" s="184">
        <v>0</v>
      </c>
      <c r="F556" s="184">
        <v>0</v>
      </c>
      <c r="G556" s="184">
        <v>0</v>
      </c>
      <c r="H556" s="184">
        <v>0</v>
      </c>
      <c r="I556" s="184">
        <v>0</v>
      </c>
      <c r="J556" s="184">
        <v>0</v>
      </c>
      <c r="K556" s="184">
        <v>0</v>
      </c>
      <c r="L556" s="184">
        <v>0</v>
      </c>
      <c r="M556" s="654" t="s">
        <v>24</v>
      </c>
      <c r="N556" s="669" t="s">
        <v>47</v>
      </c>
      <c r="O556" s="642">
        <v>0</v>
      </c>
      <c r="P556" s="184">
        <v>0</v>
      </c>
      <c r="Q556" s="184">
        <v>0</v>
      </c>
      <c r="R556" s="184">
        <v>0</v>
      </c>
      <c r="S556" s="184">
        <v>0</v>
      </c>
      <c r="T556" s="184">
        <v>0</v>
      </c>
      <c r="U556" s="184">
        <v>0</v>
      </c>
      <c r="V556" s="184">
        <v>0</v>
      </c>
      <c r="W556" s="184">
        <v>0</v>
      </c>
      <c r="X556" s="184">
        <v>0</v>
      </c>
      <c r="Y556" s="184">
        <v>0</v>
      </c>
      <c r="Z556" s="184">
        <v>0</v>
      </c>
      <c r="AA556" s="184">
        <v>0</v>
      </c>
      <c r="AB556" s="184">
        <v>0</v>
      </c>
      <c r="AC556" s="185" t="s">
        <v>24</v>
      </c>
      <c r="AD556" s="185" t="s">
        <v>24</v>
      </c>
      <c r="AE556" s="184">
        <v>0</v>
      </c>
      <c r="AF556" s="185">
        <v>0</v>
      </c>
      <c r="AG556" s="184">
        <v>0</v>
      </c>
      <c r="AH556" s="185">
        <v>0</v>
      </c>
      <c r="AI556" s="184">
        <v>0</v>
      </c>
      <c r="AJ556" s="643">
        <v>0</v>
      </c>
    </row>
    <row r="557" spans="1:36" x14ac:dyDescent="0.2">
      <c r="A557" s="190" t="s">
        <v>49</v>
      </c>
      <c r="B557" s="642">
        <v>1</v>
      </c>
      <c r="C557" s="184">
        <v>0</v>
      </c>
      <c r="D557" s="184">
        <v>1</v>
      </c>
      <c r="E557" s="184">
        <v>0</v>
      </c>
      <c r="F557" s="184">
        <v>0</v>
      </c>
      <c r="G557" s="184">
        <v>0</v>
      </c>
      <c r="H557" s="184">
        <v>0</v>
      </c>
      <c r="I557" s="184">
        <v>0</v>
      </c>
      <c r="J557" s="184">
        <v>0</v>
      </c>
      <c r="K557" s="184">
        <v>0</v>
      </c>
      <c r="L557" s="184">
        <v>0</v>
      </c>
      <c r="M557" s="654" t="s">
        <v>24</v>
      </c>
      <c r="N557" s="669" t="s">
        <v>49</v>
      </c>
      <c r="O557" s="642">
        <v>0</v>
      </c>
      <c r="P557" s="184">
        <v>0</v>
      </c>
      <c r="Q557" s="184">
        <v>0</v>
      </c>
      <c r="R557" s="184">
        <v>0</v>
      </c>
      <c r="S557" s="184">
        <v>0</v>
      </c>
      <c r="T557" s="184">
        <v>0</v>
      </c>
      <c r="U557" s="184">
        <v>0</v>
      </c>
      <c r="V557" s="184">
        <v>0</v>
      </c>
      <c r="W557" s="184">
        <v>1</v>
      </c>
      <c r="X557" s="184">
        <v>0</v>
      </c>
      <c r="Y557" s="184">
        <v>0</v>
      </c>
      <c r="Z557" s="184">
        <v>0</v>
      </c>
      <c r="AA557" s="184">
        <v>0</v>
      </c>
      <c r="AB557" s="184">
        <v>0</v>
      </c>
      <c r="AC557" s="185">
        <v>47.4</v>
      </c>
      <c r="AD557" s="185" t="s">
        <v>24</v>
      </c>
      <c r="AE557" s="184">
        <v>0</v>
      </c>
      <c r="AF557" s="185">
        <v>0</v>
      </c>
      <c r="AG557" s="184">
        <v>0</v>
      </c>
      <c r="AH557" s="185">
        <v>0</v>
      </c>
      <c r="AI557" s="184">
        <v>0</v>
      </c>
      <c r="AJ557" s="643">
        <v>0</v>
      </c>
    </row>
    <row r="558" spans="1:36" x14ac:dyDescent="0.2">
      <c r="A558" s="190" t="s">
        <v>41</v>
      </c>
      <c r="B558" s="642">
        <v>1</v>
      </c>
      <c r="C558" s="184">
        <v>0</v>
      </c>
      <c r="D558" s="184">
        <v>1</v>
      </c>
      <c r="E558" s="184">
        <v>0</v>
      </c>
      <c r="F558" s="184">
        <v>0</v>
      </c>
      <c r="G558" s="184">
        <v>0</v>
      </c>
      <c r="H558" s="184">
        <v>0</v>
      </c>
      <c r="I558" s="184">
        <v>0</v>
      </c>
      <c r="J558" s="184">
        <v>0</v>
      </c>
      <c r="K558" s="184">
        <v>0</v>
      </c>
      <c r="L558" s="184">
        <v>0</v>
      </c>
      <c r="M558" s="654" t="s">
        <v>24</v>
      </c>
      <c r="N558" s="669" t="s">
        <v>41</v>
      </c>
      <c r="O558" s="642">
        <v>0</v>
      </c>
      <c r="P558" s="184">
        <v>0</v>
      </c>
      <c r="Q558" s="184">
        <v>0</v>
      </c>
      <c r="R558" s="184">
        <v>0</v>
      </c>
      <c r="S558" s="184">
        <v>0</v>
      </c>
      <c r="T558" s="184">
        <v>0</v>
      </c>
      <c r="U558" s="184">
        <v>1</v>
      </c>
      <c r="V558" s="184">
        <v>0</v>
      </c>
      <c r="W558" s="184">
        <v>0</v>
      </c>
      <c r="X558" s="184">
        <v>0</v>
      </c>
      <c r="Y558" s="184">
        <v>0</v>
      </c>
      <c r="Z558" s="184">
        <v>0</v>
      </c>
      <c r="AA558" s="184">
        <v>0</v>
      </c>
      <c r="AB558" s="184">
        <v>0</v>
      </c>
      <c r="AC558" s="185">
        <v>36.799999999999997</v>
      </c>
      <c r="AD558" s="185" t="s">
        <v>24</v>
      </c>
      <c r="AE558" s="184">
        <v>0</v>
      </c>
      <c r="AF558" s="185">
        <v>0</v>
      </c>
      <c r="AG558" s="184">
        <v>0</v>
      </c>
      <c r="AH558" s="185">
        <v>0</v>
      </c>
      <c r="AI558" s="184">
        <v>0</v>
      </c>
      <c r="AJ558" s="643">
        <v>0</v>
      </c>
    </row>
    <row r="559" spans="1:36" x14ac:dyDescent="0.2">
      <c r="A559" s="190" t="s">
        <v>52</v>
      </c>
      <c r="B559" s="642">
        <v>0</v>
      </c>
      <c r="C559" s="184">
        <v>0</v>
      </c>
      <c r="D559" s="184">
        <v>0</v>
      </c>
      <c r="E559" s="184">
        <v>0</v>
      </c>
      <c r="F559" s="184">
        <v>0</v>
      </c>
      <c r="G559" s="184">
        <v>0</v>
      </c>
      <c r="H559" s="184">
        <v>0</v>
      </c>
      <c r="I559" s="184">
        <v>0</v>
      </c>
      <c r="J559" s="184">
        <v>0</v>
      </c>
      <c r="K559" s="184">
        <v>0</v>
      </c>
      <c r="L559" s="184">
        <v>0</v>
      </c>
      <c r="M559" s="654" t="s">
        <v>24</v>
      </c>
      <c r="N559" s="669" t="s">
        <v>52</v>
      </c>
      <c r="O559" s="642">
        <v>0</v>
      </c>
      <c r="P559" s="184">
        <v>0</v>
      </c>
      <c r="Q559" s="184">
        <v>0</v>
      </c>
      <c r="R559" s="184">
        <v>0</v>
      </c>
      <c r="S559" s="184">
        <v>0</v>
      </c>
      <c r="T559" s="184">
        <v>0</v>
      </c>
      <c r="U559" s="184">
        <v>0</v>
      </c>
      <c r="V559" s="184">
        <v>0</v>
      </c>
      <c r="W559" s="184">
        <v>0</v>
      </c>
      <c r="X559" s="184">
        <v>0</v>
      </c>
      <c r="Y559" s="184">
        <v>0</v>
      </c>
      <c r="Z559" s="184">
        <v>0</v>
      </c>
      <c r="AA559" s="184">
        <v>0</v>
      </c>
      <c r="AB559" s="184">
        <v>0</v>
      </c>
      <c r="AC559" s="185" t="s">
        <v>24</v>
      </c>
      <c r="AD559" s="185" t="s">
        <v>24</v>
      </c>
      <c r="AE559" s="184">
        <v>0</v>
      </c>
      <c r="AF559" s="185">
        <v>0</v>
      </c>
      <c r="AG559" s="184">
        <v>0</v>
      </c>
      <c r="AH559" s="185">
        <v>0</v>
      </c>
      <c r="AI559" s="184">
        <v>0</v>
      </c>
      <c r="AJ559" s="643">
        <v>0</v>
      </c>
    </row>
    <row r="560" spans="1:36" x14ac:dyDescent="0.2">
      <c r="A560" s="190" t="s">
        <v>54</v>
      </c>
      <c r="B560" s="642">
        <v>0</v>
      </c>
      <c r="C560" s="184">
        <v>0</v>
      </c>
      <c r="D560" s="184">
        <v>0</v>
      </c>
      <c r="E560" s="184">
        <v>0</v>
      </c>
      <c r="F560" s="184">
        <v>0</v>
      </c>
      <c r="G560" s="184">
        <v>0</v>
      </c>
      <c r="H560" s="184">
        <v>0</v>
      </c>
      <c r="I560" s="184">
        <v>0</v>
      </c>
      <c r="J560" s="184">
        <v>0</v>
      </c>
      <c r="K560" s="184">
        <v>0</v>
      </c>
      <c r="L560" s="184">
        <v>0</v>
      </c>
      <c r="M560" s="654" t="s">
        <v>24</v>
      </c>
      <c r="N560" s="669" t="s">
        <v>54</v>
      </c>
      <c r="O560" s="642">
        <v>0</v>
      </c>
      <c r="P560" s="184">
        <v>0</v>
      </c>
      <c r="Q560" s="184">
        <v>0</v>
      </c>
      <c r="R560" s="184">
        <v>0</v>
      </c>
      <c r="S560" s="184">
        <v>0</v>
      </c>
      <c r="T560" s="184">
        <v>0</v>
      </c>
      <c r="U560" s="184">
        <v>0</v>
      </c>
      <c r="V560" s="184">
        <v>0</v>
      </c>
      <c r="W560" s="184">
        <v>0</v>
      </c>
      <c r="X560" s="184">
        <v>0</v>
      </c>
      <c r="Y560" s="184">
        <v>0</v>
      </c>
      <c r="Z560" s="184">
        <v>0</v>
      </c>
      <c r="AA560" s="184">
        <v>0</v>
      </c>
      <c r="AB560" s="184">
        <v>0</v>
      </c>
      <c r="AC560" s="185" t="s">
        <v>24</v>
      </c>
      <c r="AD560" s="185" t="s">
        <v>24</v>
      </c>
      <c r="AE560" s="184">
        <v>0</v>
      </c>
      <c r="AF560" s="185">
        <v>0</v>
      </c>
      <c r="AG560" s="184">
        <v>0</v>
      </c>
      <c r="AH560" s="185">
        <v>0</v>
      </c>
      <c r="AI560" s="184">
        <v>0</v>
      </c>
      <c r="AJ560" s="643">
        <v>0</v>
      </c>
    </row>
    <row r="561" spans="1:36" x14ac:dyDescent="0.2">
      <c r="A561" s="190" t="s">
        <v>56</v>
      </c>
      <c r="B561" s="642">
        <v>0</v>
      </c>
      <c r="C561" s="184">
        <v>0</v>
      </c>
      <c r="D561" s="184">
        <v>0</v>
      </c>
      <c r="E561" s="184">
        <v>0</v>
      </c>
      <c r="F561" s="184">
        <v>0</v>
      </c>
      <c r="G561" s="184">
        <v>0</v>
      </c>
      <c r="H561" s="184">
        <v>0</v>
      </c>
      <c r="I561" s="184">
        <v>0</v>
      </c>
      <c r="J561" s="184">
        <v>0</v>
      </c>
      <c r="K561" s="184">
        <v>0</v>
      </c>
      <c r="L561" s="184">
        <v>0</v>
      </c>
      <c r="M561" s="654" t="s">
        <v>24</v>
      </c>
      <c r="N561" s="669" t="s">
        <v>56</v>
      </c>
      <c r="O561" s="642">
        <v>0</v>
      </c>
      <c r="P561" s="184">
        <v>0</v>
      </c>
      <c r="Q561" s="184">
        <v>0</v>
      </c>
      <c r="R561" s="184">
        <v>0</v>
      </c>
      <c r="S561" s="184">
        <v>0</v>
      </c>
      <c r="T561" s="184">
        <v>0</v>
      </c>
      <c r="U561" s="184">
        <v>0</v>
      </c>
      <c r="V561" s="184">
        <v>0</v>
      </c>
      <c r="W561" s="184">
        <v>0</v>
      </c>
      <c r="X561" s="184">
        <v>0</v>
      </c>
      <c r="Y561" s="184">
        <v>0</v>
      </c>
      <c r="Z561" s="184">
        <v>0</v>
      </c>
      <c r="AA561" s="184">
        <v>0</v>
      </c>
      <c r="AB561" s="184">
        <v>0</v>
      </c>
      <c r="AC561" s="185" t="s">
        <v>24</v>
      </c>
      <c r="AD561" s="185" t="s">
        <v>24</v>
      </c>
      <c r="AE561" s="184">
        <v>0</v>
      </c>
      <c r="AF561" s="185">
        <v>0</v>
      </c>
      <c r="AG561" s="184">
        <v>0</v>
      </c>
      <c r="AH561" s="185">
        <v>0</v>
      </c>
      <c r="AI561" s="184">
        <v>0</v>
      </c>
      <c r="AJ561" s="643">
        <v>0</v>
      </c>
    </row>
    <row r="562" spans="1:36" x14ac:dyDescent="0.2">
      <c r="A562" s="190" t="s">
        <v>43</v>
      </c>
      <c r="B562" s="642">
        <v>0</v>
      </c>
      <c r="C562" s="184">
        <v>0</v>
      </c>
      <c r="D562" s="184">
        <v>0</v>
      </c>
      <c r="E562" s="184">
        <v>0</v>
      </c>
      <c r="F562" s="184">
        <v>0</v>
      </c>
      <c r="G562" s="184">
        <v>0</v>
      </c>
      <c r="H562" s="184">
        <v>0</v>
      </c>
      <c r="I562" s="184">
        <v>0</v>
      </c>
      <c r="J562" s="184">
        <v>0</v>
      </c>
      <c r="K562" s="184">
        <v>0</v>
      </c>
      <c r="L562" s="184">
        <v>0</v>
      </c>
      <c r="M562" s="654" t="s">
        <v>24</v>
      </c>
      <c r="N562" s="669" t="s">
        <v>43</v>
      </c>
      <c r="O562" s="642">
        <v>0</v>
      </c>
      <c r="P562" s="184">
        <v>0</v>
      </c>
      <c r="Q562" s="184">
        <v>0</v>
      </c>
      <c r="R562" s="184">
        <v>0</v>
      </c>
      <c r="S562" s="184">
        <v>0</v>
      </c>
      <c r="T562" s="184">
        <v>0</v>
      </c>
      <c r="U562" s="184">
        <v>0</v>
      </c>
      <c r="V562" s="184">
        <v>0</v>
      </c>
      <c r="W562" s="184">
        <v>0</v>
      </c>
      <c r="X562" s="184">
        <v>0</v>
      </c>
      <c r="Y562" s="184">
        <v>0</v>
      </c>
      <c r="Z562" s="184">
        <v>0</v>
      </c>
      <c r="AA562" s="184">
        <v>0</v>
      </c>
      <c r="AB562" s="184">
        <v>0</v>
      </c>
      <c r="AC562" s="185" t="s">
        <v>24</v>
      </c>
      <c r="AD562" s="185" t="s">
        <v>24</v>
      </c>
      <c r="AE562" s="184">
        <v>0</v>
      </c>
      <c r="AF562" s="185">
        <v>0</v>
      </c>
      <c r="AG562" s="184">
        <v>0</v>
      </c>
      <c r="AH562" s="185">
        <v>0</v>
      </c>
      <c r="AI562" s="184">
        <v>0</v>
      </c>
      <c r="AJ562" s="643">
        <v>0</v>
      </c>
    </row>
    <row r="563" spans="1:36" x14ac:dyDescent="0.2">
      <c r="A563" s="190" t="s">
        <v>59</v>
      </c>
      <c r="B563" s="642">
        <v>0</v>
      </c>
      <c r="C563" s="184">
        <v>0</v>
      </c>
      <c r="D563" s="184">
        <v>0</v>
      </c>
      <c r="E563" s="184">
        <v>0</v>
      </c>
      <c r="F563" s="184">
        <v>0</v>
      </c>
      <c r="G563" s="184">
        <v>0</v>
      </c>
      <c r="H563" s="184">
        <v>0</v>
      </c>
      <c r="I563" s="184">
        <v>0</v>
      </c>
      <c r="J563" s="184">
        <v>0</v>
      </c>
      <c r="K563" s="184">
        <v>0</v>
      </c>
      <c r="L563" s="184">
        <v>0</v>
      </c>
      <c r="M563" s="654" t="s">
        <v>24</v>
      </c>
      <c r="N563" s="669" t="s">
        <v>59</v>
      </c>
      <c r="O563" s="642">
        <v>0</v>
      </c>
      <c r="P563" s="184">
        <v>0</v>
      </c>
      <c r="Q563" s="184">
        <v>0</v>
      </c>
      <c r="R563" s="184">
        <v>0</v>
      </c>
      <c r="S563" s="184">
        <v>0</v>
      </c>
      <c r="T563" s="184">
        <v>0</v>
      </c>
      <c r="U563" s="184">
        <v>0</v>
      </c>
      <c r="V563" s="184">
        <v>0</v>
      </c>
      <c r="W563" s="184">
        <v>0</v>
      </c>
      <c r="X563" s="184">
        <v>0</v>
      </c>
      <c r="Y563" s="184">
        <v>0</v>
      </c>
      <c r="Z563" s="184">
        <v>0</v>
      </c>
      <c r="AA563" s="184">
        <v>0</v>
      </c>
      <c r="AB563" s="184">
        <v>0</v>
      </c>
      <c r="AC563" s="185" t="s">
        <v>24</v>
      </c>
      <c r="AD563" s="185" t="s">
        <v>24</v>
      </c>
      <c r="AE563" s="184">
        <v>0</v>
      </c>
      <c r="AF563" s="185">
        <v>0</v>
      </c>
      <c r="AG563" s="184">
        <v>0</v>
      </c>
      <c r="AH563" s="185">
        <v>0</v>
      </c>
      <c r="AI563" s="184">
        <v>0</v>
      </c>
      <c r="AJ563" s="643">
        <v>0</v>
      </c>
    </row>
    <row r="564" spans="1:36" x14ac:dyDescent="0.2">
      <c r="A564" s="190" t="s">
        <v>61</v>
      </c>
      <c r="B564" s="642">
        <v>0</v>
      </c>
      <c r="C564" s="184">
        <v>0</v>
      </c>
      <c r="D564" s="184">
        <v>0</v>
      </c>
      <c r="E564" s="184">
        <v>0</v>
      </c>
      <c r="F564" s="184">
        <v>0</v>
      </c>
      <c r="G564" s="184">
        <v>0</v>
      </c>
      <c r="H564" s="184">
        <v>0</v>
      </c>
      <c r="I564" s="184">
        <v>0</v>
      </c>
      <c r="J564" s="184">
        <v>0</v>
      </c>
      <c r="K564" s="184">
        <v>0</v>
      </c>
      <c r="L564" s="184">
        <v>0</v>
      </c>
      <c r="M564" s="654" t="s">
        <v>24</v>
      </c>
      <c r="N564" s="669" t="s">
        <v>61</v>
      </c>
      <c r="O564" s="642">
        <v>0</v>
      </c>
      <c r="P564" s="184">
        <v>0</v>
      </c>
      <c r="Q564" s="184">
        <v>0</v>
      </c>
      <c r="R564" s="184">
        <v>0</v>
      </c>
      <c r="S564" s="184">
        <v>0</v>
      </c>
      <c r="T564" s="184">
        <v>0</v>
      </c>
      <c r="U564" s="184">
        <v>0</v>
      </c>
      <c r="V564" s="184">
        <v>0</v>
      </c>
      <c r="W564" s="184">
        <v>0</v>
      </c>
      <c r="X564" s="184">
        <v>0</v>
      </c>
      <c r="Y564" s="184">
        <v>0</v>
      </c>
      <c r="Z564" s="184">
        <v>0</v>
      </c>
      <c r="AA564" s="184">
        <v>0</v>
      </c>
      <c r="AB564" s="184">
        <v>0</v>
      </c>
      <c r="AC564" s="185" t="s">
        <v>24</v>
      </c>
      <c r="AD564" s="185" t="s">
        <v>24</v>
      </c>
      <c r="AE564" s="184">
        <v>0</v>
      </c>
      <c r="AF564" s="185">
        <v>0</v>
      </c>
      <c r="AG564" s="184">
        <v>0</v>
      </c>
      <c r="AH564" s="185">
        <v>0</v>
      </c>
      <c r="AI564" s="184">
        <v>0</v>
      </c>
      <c r="AJ564" s="643">
        <v>0</v>
      </c>
    </row>
    <row r="565" spans="1:36" x14ac:dyDescent="0.2">
      <c r="A565" s="190" t="s">
        <v>63</v>
      </c>
      <c r="B565" s="642">
        <v>0</v>
      </c>
      <c r="C565" s="184">
        <v>0</v>
      </c>
      <c r="D565" s="184">
        <v>0</v>
      </c>
      <c r="E565" s="184">
        <v>0</v>
      </c>
      <c r="F565" s="184">
        <v>0</v>
      </c>
      <c r="G565" s="184">
        <v>0</v>
      </c>
      <c r="H565" s="184">
        <v>0</v>
      </c>
      <c r="I565" s="184">
        <v>0</v>
      </c>
      <c r="J565" s="184">
        <v>0</v>
      </c>
      <c r="K565" s="184">
        <v>0</v>
      </c>
      <c r="L565" s="184">
        <v>0</v>
      </c>
      <c r="M565" s="654" t="s">
        <v>24</v>
      </c>
      <c r="N565" s="669" t="s">
        <v>63</v>
      </c>
      <c r="O565" s="642">
        <v>0</v>
      </c>
      <c r="P565" s="184">
        <v>0</v>
      </c>
      <c r="Q565" s="184">
        <v>0</v>
      </c>
      <c r="R565" s="184">
        <v>0</v>
      </c>
      <c r="S565" s="184">
        <v>0</v>
      </c>
      <c r="T565" s="184">
        <v>0</v>
      </c>
      <c r="U565" s="184">
        <v>0</v>
      </c>
      <c r="V565" s="184">
        <v>0</v>
      </c>
      <c r="W565" s="184">
        <v>0</v>
      </c>
      <c r="X565" s="184">
        <v>0</v>
      </c>
      <c r="Y565" s="184">
        <v>0</v>
      </c>
      <c r="Z565" s="184">
        <v>0</v>
      </c>
      <c r="AA565" s="184">
        <v>0</v>
      </c>
      <c r="AB565" s="184">
        <v>0</v>
      </c>
      <c r="AC565" s="185" t="s">
        <v>24</v>
      </c>
      <c r="AD565" s="185" t="s">
        <v>24</v>
      </c>
      <c r="AE565" s="184">
        <v>0</v>
      </c>
      <c r="AF565" s="185">
        <v>0</v>
      </c>
      <c r="AG565" s="184">
        <v>0</v>
      </c>
      <c r="AH565" s="185">
        <v>0</v>
      </c>
      <c r="AI565" s="184">
        <v>0</v>
      </c>
      <c r="AJ565" s="643">
        <v>0</v>
      </c>
    </row>
    <row r="566" spans="1:36" x14ac:dyDescent="0.2">
      <c r="A566" s="190" t="s">
        <v>44</v>
      </c>
      <c r="B566" s="642">
        <v>0</v>
      </c>
      <c r="C566" s="184">
        <v>0</v>
      </c>
      <c r="D566" s="184">
        <v>0</v>
      </c>
      <c r="E566" s="184">
        <v>0</v>
      </c>
      <c r="F566" s="184">
        <v>0</v>
      </c>
      <c r="G566" s="184">
        <v>0</v>
      </c>
      <c r="H566" s="184">
        <v>0</v>
      </c>
      <c r="I566" s="184">
        <v>0</v>
      </c>
      <c r="J566" s="184">
        <v>0</v>
      </c>
      <c r="K566" s="184">
        <v>0</v>
      </c>
      <c r="L566" s="184">
        <v>0</v>
      </c>
      <c r="M566" s="654" t="s">
        <v>24</v>
      </c>
      <c r="N566" s="669" t="s">
        <v>44</v>
      </c>
      <c r="O566" s="642">
        <v>0</v>
      </c>
      <c r="P566" s="184">
        <v>0</v>
      </c>
      <c r="Q566" s="184">
        <v>0</v>
      </c>
      <c r="R566" s="184">
        <v>0</v>
      </c>
      <c r="S566" s="184">
        <v>0</v>
      </c>
      <c r="T566" s="184">
        <v>0</v>
      </c>
      <c r="U566" s="184">
        <v>0</v>
      </c>
      <c r="V566" s="184">
        <v>0</v>
      </c>
      <c r="W566" s="184">
        <v>0</v>
      </c>
      <c r="X566" s="184">
        <v>0</v>
      </c>
      <c r="Y566" s="184">
        <v>0</v>
      </c>
      <c r="Z566" s="184">
        <v>0</v>
      </c>
      <c r="AA566" s="184">
        <v>0</v>
      </c>
      <c r="AB566" s="184">
        <v>0</v>
      </c>
      <c r="AC566" s="185" t="s">
        <v>24</v>
      </c>
      <c r="AD566" s="185" t="s">
        <v>24</v>
      </c>
      <c r="AE566" s="184">
        <v>0</v>
      </c>
      <c r="AF566" s="185">
        <v>0</v>
      </c>
      <c r="AG566" s="184">
        <v>0</v>
      </c>
      <c r="AH566" s="185">
        <v>0</v>
      </c>
      <c r="AI566" s="184">
        <v>0</v>
      </c>
      <c r="AJ566" s="643">
        <v>0</v>
      </c>
    </row>
    <row r="567" spans="1:36" x14ac:dyDescent="0.2">
      <c r="A567" s="190" t="s">
        <v>66</v>
      </c>
      <c r="B567" s="642">
        <v>0</v>
      </c>
      <c r="C567" s="184">
        <v>0</v>
      </c>
      <c r="D567" s="184">
        <v>0</v>
      </c>
      <c r="E567" s="184">
        <v>0</v>
      </c>
      <c r="F567" s="184">
        <v>0</v>
      </c>
      <c r="G567" s="184">
        <v>0</v>
      </c>
      <c r="H567" s="184">
        <v>0</v>
      </c>
      <c r="I567" s="184">
        <v>0</v>
      </c>
      <c r="J567" s="184">
        <v>0</v>
      </c>
      <c r="K567" s="184">
        <v>0</v>
      </c>
      <c r="L567" s="184">
        <v>0</v>
      </c>
      <c r="M567" s="654" t="s">
        <v>24</v>
      </c>
      <c r="N567" s="669" t="s">
        <v>66</v>
      </c>
      <c r="O567" s="642">
        <v>0</v>
      </c>
      <c r="P567" s="184">
        <v>0</v>
      </c>
      <c r="Q567" s="184">
        <v>0</v>
      </c>
      <c r="R567" s="184">
        <v>0</v>
      </c>
      <c r="S567" s="184">
        <v>0</v>
      </c>
      <c r="T567" s="184">
        <v>0</v>
      </c>
      <c r="U567" s="184">
        <v>0</v>
      </c>
      <c r="V567" s="184">
        <v>0</v>
      </c>
      <c r="W567" s="184">
        <v>0</v>
      </c>
      <c r="X567" s="184">
        <v>0</v>
      </c>
      <c r="Y567" s="184">
        <v>0</v>
      </c>
      <c r="Z567" s="184">
        <v>0</v>
      </c>
      <c r="AA567" s="184">
        <v>0</v>
      </c>
      <c r="AB567" s="184">
        <v>0</v>
      </c>
      <c r="AC567" s="185" t="s">
        <v>24</v>
      </c>
      <c r="AD567" s="185" t="s">
        <v>24</v>
      </c>
      <c r="AE567" s="184">
        <v>0</v>
      </c>
      <c r="AF567" s="185">
        <v>0</v>
      </c>
      <c r="AG567" s="184">
        <v>0</v>
      </c>
      <c r="AH567" s="185">
        <v>0</v>
      </c>
      <c r="AI567" s="184">
        <v>0</v>
      </c>
      <c r="AJ567" s="643">
        <v>0</v>
      </c>
    </row>
    <row r="568" spans="1:36" x14ac:dyDescent="0.2">
      <c r="A568" s="190" t="s">
        <v>68</v>
      </c>
      <c r="B568" s="642">
        <v>0</v>
      </c>
      <c r="C568" s="184">
        <v>0</v>
      </c>
      <c r="D568" s="184">
        <v>0</v>
      </c>
      <c r="E568" s="184">
        <v>0</v>
      </c>
      <c r="F568" s="184">
        <v>0</v>
      </c>
      <c r="G568" s="184">
        <v>0</v>
      </c>
      <c r="H568" s="184">
        <v>0</v>
      </c>
      <c r="I568" s="184">
        <v>0</v>
      </c>
      <c r="J568" s="184">
        <v>0</v>
      </c>
      <c r="K568" s="184">
        <v>0</v>
      </c>
      <c r="L568" s="184">
        <v>0</v>
      </c>
      <c r="M568" s="654" t="s">
        <v>24</v>
      </c>
      <c r="N568" s="669" t="s">
        <v>68</v>
      </c>
      <c r="O568" s="642">
        <v>0</v>
      </c>
      <c r="P568" s="184">
        <v>0</v>
      </c>
      <c r="Q568" s="184">
        <v>0</v>
      </c>
      <c r="R568" s="184">
        <v>0</v>
      </c>
      <c r="S568" s="184">
        <v>0</v>
      </c>
      <c r="T568" s="184">
        <v>0</v>
      </c>
      <c r="U568" s="184">
        <v>0</v>
      </c>
      <c r="V568" s="184">
        <v>0</v>
      </c>
      <c r="W568" s="184">
        <v>0</v>
      </c>
      <c r="X568" s="184">
        <v>0</v>
      </c>
      <c r="Y568" s="184">
        <v>0</v>
      </c>
      <c r="Z568" s="184">
        <v>0</v>
      </c>
      <c r="AA568" s="184">
        <v>0</v>
      </c>
      <c r="AB568" s="184">
        <v>0</v>
      </c>
      <c r="AC568" s="185" t="s">
        <v>24</v>
      </c>
      <c r="AD568" s="185" t="s">
        <v>24</v>
      </c>
      <c r="AE568" s="184">
        <v>0</v>
      </c>
      <c r="AF568" s="185">
        <v>0</v>
      </c>
      <c r="AG568" s="184">
        <v>0</v>
      </c>
      <c r="AH568" s="185">
        <v>0</v>
      </c>
      <c r="AI568" s="184">
        <v>0</v>
      </c>
      <c r="AJ568" s="643">
        <v>0</v>
      </c>
    </row>
    <row r="569" spans="1:36" x14ac:dyDescent="0.2">
      <c r="A569" s="190" t="s">
        <v>70</v>
      </c>
      <c r="B569" s="642">
        <v>1</v>
      </c>
      <c r="C569" s="184">
        <v>0</v>
      </c>
      <c r="D569" s="184">
        <v>1</v>
      </c>
      <c r="E569" s="184">
        <v>0</v>
      </c>
      <c r="F569" s="184">
        <v>0</v>
      </c>
      <c r="G569" s="184">
        <v>0</v>
      </c>
      <c r="H569" s="184">
        <v>0</v>
      </c>
      <c r="I569" s="184">
        <v>0</v>
      </c>
      <c r="J569" s="184">
        <v>0</v>
      </c>
      <c r="K569" s="184">
        <v>0</v>
      </c>
      <c r="L569" s="184">
        <v>0</v>
      </c>
      <c r="M569" s="654" t="s">
        <v>24</v>
      </c>
      <c r="N569" s="669" t="s">
        <v>70</v>
      </c>
      <c r="O569" s="642">
        <v>0</v>
      </c>
      <c r="P569" s="184">
        <v>0</v>
      </c>
      <c r="Q569" s="184">
        <v>0</v>
      </c>
      <c r="R569" s="184">
        <v>0</v>
      </c>
      <c r="S569" s="184">
        <v>0</v>
      </c>
      <c r="T569" s="184">
        <v>0</v>
      </c>
      <c r="U569" s="184">
        <v>0</v>
      </c>
      <c r="V569" s="184">
        <v>0</v>
      </c>
      <c r="W569" s="184">
        <v>1</v>
      </c>
      <c r="X569" s="184">
        <v>0</v>
      </c>
      <c r="Y569" s="184">
        <v>0</v>
      </c>
      <c r="Z569" s="184">
        <v>0</v>
      </c>
      <c r="AA569" s="184">
        <v>0</v>
      </c>
      <c r="AB569" s="184">
        <v>0</v>
      </c>
      <c r="AC569" s="185">
        <v>47.2</v>
      </c>
      <c r="AD569" s="185" t="s">
        <v>24</v>
      </c>
      <c r="AE569" s="184">
        <v>0</v>
      </c>
      <c r="AF569" s="185">
        <v>0</v>
      </c>
      <c r="AG569" s="184">
        <v>0</v>
      </c>
      <c r="AH569" s="185">
        <v>0</v>
      </c>
      <c r="AI569" s="184">
        <v>0</v>
      </c>
      <c r="AJ569" s="643">
        <v>0</v>
      </c>
    </row>
    <row r="570" spans="1:36" x14ac:dyDescent="0.2">
      <c r="A570" s="190" t="s">
        <v>46</v>
      </c>
      <c r="B570" s="642">
        <v>1</v>
      </c>
      <c r="C570" s="184">
        <v>0</v>
      </c>
      <c r="D570" s="184">
        <v>1</v>
      </c>
      <c r="E570" s="184">
        <v>0</v>
      </c>
      <c r="F570" s="184">
        <v>0</v>
      </c>
      <c r="G570" s="184">
        <v>0</v>
      </c>
      <c r="H570" s="184">
        <v>0</v>
      </c>
      <c r="I570" s="184">
        <v>0</v>
      </c>
      <c r="J570" s="184">
        <v>0</v>
      </c>
      <c r="K570" s="184">
        <v>0</v>
      </c>
      <c r="L570" s="184">
        <v>0</v>
      </c>
      <c r="M570" s="654" t="s">
        <v>24</v>
      </c>
      <c r="N570" s="669" t="s">
        <v>46</v>
      </c>
      <c r="O570" s="642">
        <v>0</v>
      </c>
      <c r="P570" s="184">
        <v>0</v>
      </c>
      <c r="Q570" s="184">
        <v>0</v>
      </c>
      <c r="R570" s="184">
        <v>0</v>
      </c>
      <c r="S570" s="184">
        <v>1</v>
      </c>
      <c r="T570" s="184">
        <v>0</v>
      </c>
      <c r="U570" s="184">
        <v>0</v>
      </c>
      <c r="V570" s="184">
        <v>0</v>
      </c>
      <c r="W570" s="184">
        <v>0</v>
      </c>
      <c r="X570" s="184">
        <v>0</v>
      </c>
      <c r="Y570" s="184">
        <v>0</v>
      </c>
      <c r="Z570" s="184">
        <v>0</v>
      </c>
      <c r="AA570" s="184">
        <v>0</v>
      </c>
      <c r="AB570" s="184">
        <v>0</v>
      </c>
      <c r="AC570" s="185">
        <v>29.6</v>
      </c>
      <c r="AD570" s="185" t="s">
        <v>24</v>
      </c>
      <c r="AE570" s="184">
        <v>0</v>
      </c>
      <c r="AF570" s="185">
        <v>0</v>
      </c>
      <c r="AG570" s="184">
        <v>0</v>
      </c>
      <c r="AH570" s="185">
        <v>0</v>
      </c>
      <c r="AI570" s="184">
        <v>0</v>
      </c>
      <c r="AJ570" s="643">
        <v>0</v>
      </c>
    </row>
    <row r="571" spans="1:36" x14ac:dyDescent="0.2">
      <c r="A571" s="190" t="s">
        <v>73</v>
      </c>
      <c r="B571" s="642">
        <v>0</v>
      </c>
      <c r="C571" s="184">
        <v>0</v>
      </c>
      <c r="D571" s="184">
        <v>0</v>
      </c>
      <c r="E571" s="184">
        <v>0</v>
      </c>
      <c r="F571" s="184">
        <v>0</v>
      </c>
      <c r="G571" s="184">
        <v>0</v>
      </c>
      <c r="H571" s="184">
        <v>0</v>
      </c>
      <c r="I571" s="184">
        <v>0</v>
      </c>
      <c r="J571" s="184">
        <v>0</v>
      </c>
      <c r="K571" s="184">
        <v>0</v>
      </c>
      <c r="L571" s="184">
        <v>0</v>
      </c>
      <c r="M571" s="654" t="s">
        <v>24</v>
      </c>
      <c r="N571" s="669" t="s">
        <v>73</v>
      </c>
      <c r="O571" s="642">
        <v>0</v>
      </c>
      <c r="P571" s="184">
        <v>0</v>
      </c>
      <c r="Q571" s="184">
        <v>0</v>
      </c>
      <c r="R571" s="184">
        <v>0</v>
      </c>
      <c r="S571" s="184">
        <v>0</v>
      </c>
      <c r="T571" s="184">
        <v>0</v>
      </c>
      <c r="U571" s="184">
        <v>0</v>
      </c>
      <c r="V571" s="184">
        <v>0</v>
      </c>
      <c r="W571" s="184">
        <v>0</v>
      </c>
      <c r="X571" s="184">
        <v>0</v>
      </c>
      <c r="Y571" s="184">
        <v>0</v>
      </c>
      <c r="Z571" s="184">
        <v>0</v>
      </c>
      <c r="AA571" s="184">
        <v>0</v>
      </c>
      <c r="AB571" s="184">
        <v>0</v>
      </c>
      <c r="AC571" s="185" t="s">
        <v>24</v>
      </c>
      <c r="AD571" s="185" t="s">
        <v>24</v>
      </c>
      <c r="AE571" s="184">
        <v>0</v>
      </c>
      <c r="AF571" s="185">
        <v>0</v>
      </c>
      <c r="AG571" s="184">
        <v>0</v>
      </c>
      <c r="AH571" s="185">
        <v>0</v>
      </c>
      <c r="AI571" s="184">
        <v>0</v>
      </c>
      <c r="AJ571" s="643">
        <v>0</v>
      </c>
    </row>
    <row r="572" spans="1:36" x14ac:dyDescent="0.2">
      <c r="A572" s="190" t="s">
        <v>75</v>
      </c>
      <c r="B572" s="642">
        <v>0</v>
      </c>
      <c r="C572" s="184">
        <v>0</v>
      </c>
      <c r="D572" s="184">
        <v>0</v>
      </c>
      <c r="E572" s="184">
        <v>0</v>
      </c>
      <c r="F572" s="184">
        <v>0</v>
      </c>
      <c r="G572" s="184">
        <v>0</v>
      </c>
      <c r="H572" s="184">
        <v>0</v>
      </c>
      <c r="I572" s="184">
        <v>0</v>
      </c>
      <c r="J572" s="184">
        <v>0</v>
      </c>
      <c r="K572" s="184">
        <v>0</v>
      </c>
      <c r="L572" s="184">
        <v>0</v>
      </c>
      <c r="M572" s="654" t="s">
        <v>24</v>
      </c>
      <c r="N572" s="669" t="s">
        <v>75</v>
      </c>
      <c r="O572" s="642">
        <v>0</v>
      </c>
      <c r="P572" s="184">
        <v>0</v>
      </c>
      <c r="Q572" s="184">
        <v>0</v>
      </c>
      <c r="R572" s="184">
        <v>0</v>
      </c>
      <c r="S572" s="184">
        <v>0</v>
      </c>
      <c r="T572" s="184">
        <v>0</v>
      </c>
      <c r="U572" s="184">
        <v>0</v>
      </c>
      <c r="V572" s="184">
        <v>0</v>
      </c>
      <c r="W572" s="184">
        <v>0</v>
      </c>
      <c r="X572" s="184">
        <v>0</v>
      </c>
      <c r="Y572" s="184">
        <v>0</v>
      </c>
      <c r="Z572" s="184">
        <v>0</v>
      </c>
      <c r="AA572" s="184">
        <v>0</v>
      </c>
      <c r="AB572" s="184">
        <v>0</v>
      </c>
      <c r="AC572" s="185" t="s">
        <v>24</v>
      </c>
      <c r="AD572" s="185" t="s">
        <v>24</v>
      </c>
      <c r="AE572" s="184">
        <v>0</v>
      </c>
      <c r="AF572" s="185">
        <v>0</v>
      </c>
      <c r="AG572" s="184">
        <v>0</v>
      </c>
      <c r="AH572" s="185">
        <v>0</v>
      </c>
      <c r="AI572" s="184">
        <v>0</v>
      </c>
      <c r="AJ572" s="643">
        <v>0</v>
      </c>
    </row>
    <row r="573" spans="1:36" ht="13.5" thickBot="1" x14ac:dyDescent="0.25">
      <c r="A573" s="190" t="s">
        <v>77</v>
      </c>
      <c r="B573" s="644">
        <v>0</v>
      </c>
      <c r="C573" s="188">
        <v>0</v>
      </c>
      <c r="D573" s="188">
        <v>0</v>
      </c>
      <c r="E573" s="188">
        <v>0</v>
      </c>
      <c r="F573" s="188">
        <v>0</v>
      </c>
      <c r="G573" s="188">
        <v>0</v>
      </c>
      <c r="H573" s="188">
        <v>0</v>
      </c>
      <c r="I573" s="188">
        <v>0</v>
      </c>
      <c r="J573" s="188">
        <v>0</v>
      </c>
      <c r="K573" s="188">
        <v>0</v>
      </c>
      <c r="L573" s="188">
        <v>0</v>
      </c>
      <c r="M573" s="655" t="s">
        <v>24</v>
      </c>
      <c r="N573" s="669" t="s">
        <v>77</v>
      </c>
      <c r="O573" s="644">
        <v>0</v>
      </c>
      <c r="P573" s="188">
        <v>0</v>
      </c>
      <c r="Q573" s="188">
        <v>0</v>
      </c>
      <c r="R573" s="188">
        <v>0</v>
      </c>
      <c r="S573" s="188">
        <v>0</v>
      </c>
      <c r="T573" s="188">
        <v>0</v>
      </c>
      <c r="U573" s="188">
        <v>0</v>
      </c>
      <c r="V573" s="188">
        <v>0</v>
      </c>
      <c r="W573" s="188">
        <v>0</v>
      </c>
      <c r="X573" s="188">
        <v>0</v>
      </c>
      <c r="Y573" s="188">
        <v>0</v>
      </c>
      <c r="Z573" s="188">
        <v>0</v>
      </c>
      <c r="AA573" s="188">
        <v>0</v>
      </c>
      <c r="AB573" s="188">
        <v>0</v>
      </c>
      <c r="AC573" s="189" t="s">
        <v>24</v>
      </c>
      <c r="AD573" s="189" t="s">
        <v>24</v>
      </c>
      <c r="AE573" s="188">
        <v>0</v>
      </c>
      <c r="AF573" s="189">
        <v>0</v>
      </c>
      <c r="AG573" s="188">
        <v>0</v>
      </c>
      <c r="AH573" s="189">
        <v>0</v>
      </c>
      <c r="AI573" s="188">
        <v>0</v>
      </c>
      <c r="AJ573" s="645">
        <v>0</v>
      </c>
    </row>
    <row r="574" spans="1:36" x14ac:dyDescent="0.2">
      <c r="A574" s="190" t="s">
        <v>48</v>
      </c>
      <c r="B574" s="642">
        <v>0</v>
      </c>
      <c r="C574" s="184">
        <v>0</v>
      </c>
      <c r="D574" s="184">
        <v>0</v>
      </c>
      <c r="E574" s="184">
        <v>0</v>
      </c>
      <c r="F574" s="184">
        <v>0</v>
      </c>
      <c r="G574" s="184">
        <v>0</v>
      </c>
      <c r="H574" s="184">
        <v>0</v>
      </c>
      <c r="I574" s="184">
        <v>0</v>
      </c>
      <c r="J574" s="184">
        <v>0</v>
      </c>
      <c r="K574" s="184">
        <v>0</v>
      </c>
      <c r="L574" s="184">
        <v>0</v>
      </c>
      <c r="M574" s="654" t="s">
        <v>24</v>
      </c>
      <c r="N574" s="669" t="s">
        <v>48</v>
      </c>
      <c r="O574" s="642">
        <v>0</v>
      </c>
      <c r="P574" s="184">
        <v>0</v>
      </c>
      <c r="Q574" s="184">
        <v>0</v>
      </c>
      <c r="R574" s="184">
        <v>0</v>
      </c>
      <c r="S574" s="184">
        <v>0</v>
      </c>
      <c r="T574" s="184">
        <v>0</v>
      </c>
      <c r="U574" s="184">
        <v>0</v>
      </c>
      <c r="V574" s="184">
        <v>0</v>
      </c>
      <c r="W574" s="184">
        <v>0</v>
      </c>
      <c r="X574" s="184">
        <v>0</v>
      </c>
      <c r="Y574" s="184">
        <v>0</v>
      </c>
      <c r="Z574" s="184">
        <v>0</v>
      </c>
      <c r="AA574" s="184">
        <v>0</v>
      </c>
      <c r="AB574" s="184">
        <v>0</v>
      </c>
      <c r="AC574" s="185" t="s">
        <v>24</v>
      </c>
      <c r="AD574" s="185" t="s">
        <v>24</v>
      </c>
      <c r="AE574" s="184">
        <v>0</v>
      </c>
      <c r="AF574" s="185">
        <v>0</v>
      </c>
      <c r="AG574" s="184">
        <v>0</v>
      </c>
      <c r="AH574" s="185">
        <v>0</v>
      </c>
      <c r="AI574" s="184">
        <v>0</v>
      </c>
      <c r="AJ574" s="643">
        <v>0</v>
      </c>
    </row>
    <row r="575" spans="1:36" x14ac:dyDescent="0.2">
      <c r="A575" s="190" t="s">
        <v>79</v>
      </c>
      <c r="B575" s="642">
        <v>1</v>
      </c>
      <c r="C575" s="184">
        <v>0</v>
      </c>
      <c r="D575" s="184">
        <v>0</v>
      </c>
      <c r="E575" s="184">
        <v>0</v>
      </c>
      <c r="F575" s="184">
        <v>1</v>
      </c>
      <c r="G575" s="184">
        <v>0</v>
      </c>
      <c r="H575" s="184">
        <v>0</v>
      </c>
      <c r="I575" s="184">
        <v>0</v>
      </c>
      <c r="J575" s="184">
        <v>0</v>
      </c>
      <c r="K575" s="184">
        <v>0</v>
      </c>
      <c r="L575" s="184">
        <v>0</v>
      </c>
      <c r="M575" s="654" t="s">
        <v>24</v>
      </c>
      <c r="N575" s="669" t="s">
        <v>79</v>
      </c>
      <c r="O575" s="642">
        <v>0</v>
      </c>
      <c r="P575" s="184">
        <v>0</v>
      </c>
      <c r="Q575" s="184">
        <v>0</v>
      </c>
      <c r="R575" s="184">
        <v>0</v>
      </c>
      <c r="S575" s="184">
        <v>0</v>
      </c>
      <c r="T575" s="184">
        <v>0</v>
      </c>
      <c r="U575" s="184">
        <v>0</v>
      </c>
      <c r="V575" s="184">
        <v>1</v>
      </c>
      <c r="W575" s="184">
        <v>0</v>
      </c>
      <c r="X575" s="184">
        <v>0</v>
      </c>
      <c r="Y575" s="184">
        <v>0</v>
      </c>
      <c r="Z575" s="184">
        <v>0</v>
      </c>
      <c r="AA575" s="184">
        <v>0</v>
      </c>
      <c r="AB575" s="184">
        <v>0</v>
      </c>
      <c r="AC575" s="185">
        <v>41.9</v>
      </c>
      <c r="AD575" s="185" t="s">
        <v>24</v>
      </c>
      <c r="AE575" s="184">
        <v>0</v>
      </c>
      <c r="AF575" s="185">
        <v>0</v>
      </c>
      <c r="AG575" s="184">
        <v>0</v>
      </c>
      <c r="AH575" s="185">
        <v>0</v>
      </c>
      <c r="AI575" s="184">
        <v>0</v>
      </c>
      <c r="AJ575" s="643">
        <v>0</v>
      </c>
    </row>
    <row r="576" spans="1:36" x14ac:dyDescent="0.2">
      <c r="A576" s="190" t="s">
        <v>80</v>
      </c>
      <c r="B576" s="642">
        <v>2</v>
      </c>
      <c r="C576" s="184">
        <v>0</v>
      </c>
      <c r="D576" s="184">
        <v>2</v>
      </c>
      <c r="E576" s="184">
        <v>0</v>
      </c>
      <c r="F576" s="184">
        <v>0</v>
      </c>
      <c r="G576" s="184">
        <v>0</v>
      </c>
      <c r="H576" s="184">
        <v>0</v>
      </c>
      <c r="I576" s="184">
        <v>0</v>
      </c>
      <c r="J576" s="184">
        <v>0</v>
      </c>
      <c r="K576" s="184">
        <v>0</v>
      </c>
      <c r="L576" s="184">
        <v>0</v>
      </c>
      <c r="M576" s="654" t="s">
        <v>24</v>
      </c>
      <c r="N576" s="669" t="s">
        <v>80</v>
      </c>
      <c r="O576" s="642">
        <v>0</v>
      </c>
      <c r="P576" s="184">
        <v>0</v>
      </c>
      <c r="Q576" s="184">
        <v>0</v>
      </c>
      <c r="R576" s="184">
        <v>0</v>
      </c>
      <c r="S576" s="184">
        <v>0</v>
      </c>
      <c r="T576" s="184">
        <v>0</v>
      </c>
      <c r="U576" s="184">
        <v>1</v>
      </c>
      <c r="V576" s="184">
        <v>0</v>
      </c>
      <c r="W576" s="184">
        <v>1</v>
      </c>
      <c r="X576" s="184">
        <v>0</v>
      </c>
      <c r="Y576" s="184">
        <v>0</v>
      </c>
      <c r="Z576" s="184">
        <v>0</v>
      </c>
      <c r="AA576" s="184">
        <v>0</v>
      </c>
      <c r="AB576" s="184">
        <v>0</v>
      </c>
      <c r="AC576" s="185">
        <v>43</v>
      </c>
      <c r="AD576" s="185" t="s">
        <v>24</v>
      </c>
      <c r="AE576" s="184">
        <v>0</v>
      </c>
      <c r="AF576" s="185">
        <v>0</v>
      </c>
      <c r="AG576" s="184">
        <v>0</v>
      </c>
      <c r="AH576" s="185">
        <v>0</v>
      </c>
      <c r="AI576" s="184">
        <v>0</v>
      </c>
      <c r="AJ576" s="643">
        <v>0</v>
      </c>
    </row>
    <row r="577" spans="1:36" ht="13.5" thickBot="1" x14ac:dyDescent="0.25">
      <c r="A577" s="190" t="s">
        <v>81</v>
      </c>
      <c r="B577" s="644">
        <v>0</v>
      </c>
      <c r="C577" s="188">
        <v>0</v>
      </c>
      <c r="D577" s="188">
        <v>0</v>
      </c>
      <c r="E577" s="188">
        <v>0</v>
      </c>
      <c r="F577" s="188">
        <v>0</v>
      </c>
      <c r="G577" s="188">
        <v>0</v>
      </c>
      <c r="H577" s="188">
        <v>0</v>
      </c>
      <c r="I577" s="188">
        <v>0</v>
      </c>
      <c r="J577" s="188">
        <v>0</v>
      </c>
      <c r="K577" s="188">
        <v>0</v>
      </c>
      <c r="L577" s="188">
        <v>0</v>
      </c>
      <c r="M577" s="655" t="s">
        <v>24</v>
      </c>
      <c r="N577" s="669" t="s">
        <v>81</v>
      </c>
      <c r="O577" s="644">
        <v>0</v>
      </c>
      <c r="P577" s="188">
        <v>0</v>
      </c>
      <c r="Q577" s="188">
        <v>0</v>
      </c>
      <c r="R577" s="188">
        <v>0</v>
      </c>
      <c r="S577" s="188">
        <v>0</v>
      </c>
      <c r="T577" s="188">
        <v>0</v>
      </c>
      <c r="U577" s="188">
        <v>0</v>
      </c>
      <c r="V577" s="188">
        <v>0</v>
      </c>
      <c r="W577" s="188">
        <v>0</v>
      </c>
      <c r="X577" s="188">
        <v>0</v>
      </c>
      <c r="Y577" s="188">
        <v>0</v>
      </c>
      <c r="Z577" s="188">
        <v>0</v>
      </c>
      <c r="AA577" s="188">
        <v>0</v>
      </c>
      <c r="AB577" s="188">
        <v>0</v>
      </c>
      <c r="AC577" s="189" t="s">
        <v>24</v>
      </c>
      <c r="AD577" s="189" t="s">
        <v>24</v>
      </c>
      <c r="AE577" s="188">
        <v>0</v>
      </c>
      <c r="AF577" s="189">
        <v>0</v>
      </c>
      <c r="AG577" s="188">
        <v>0</v>
      </c>
      <c r="AH577" s="189">
        <v>0</v>
      </c>
      <c r="AI577" s="188">
        <v>0</v>
      </c>
      <c r="AJ577" s="645">
        <v>0</v>
      </c>
    </row>
    <row r="578" spans="1:36" x14ac:dyDescent="0.2">
      <c r="A578" s="190" t="s">
        <v>50</v>
      </c>
      <c r="B578" s="646">
        <v>1</v>
      </c>
      <c r="C578" s="186">
        <v>0</v>
      </c>
      <c r="D578" s="186">
        <v>1</v>
      </c>
      <c r="E578" s="186">
        <v>0</v>
      </c>
      <c r="F578" s="186">
        <v>0</v>
      </c>
      <c r="G578" s="186">
        <v>0</v>
      </c>
      <c r="H578" s="186">
        <v>0</v>
      </c>
      <c r="I578" s="186">
        <v>0</v>
      </c>
      <c r="J578" s="186">
        <v>0</v>
      </c>
      <c r="K578" s="186">
        <v>0</v>
      </c>
      <c r="L578" s="186">
        <v>0</v>
      </c>
      <c r="M578" s="656" t="s">
        <v>24</v>
      </c>
      <c r="N578" s="669" t="s">
        <v>50</v>
      </c>
      <c r="O578" s="646">
        <v>0</v>
      </c>
      <c r="P578" s="186">
        <v>0</v>
      </c>
      <c r="Q578" s="186">
        <v>0</v>
      </c>
      <c r="R578" s="186">
        <v>0</v>
      </c>
      <c r="S578" s="186">
        <v>0</v>
      </c>
      <c r="T578" s="186">
        <v>0</v>
      </c>
      <c r="U578" s="186">
        <v>0</v>
      </c>
      <c r="V578" s="186">
        <v>0</v>
      </c>
      <c r="W578" s="186">
        <v>1</v>
      </c>
      <c r="X578" s="186">
        <v>0</v>
      </c>
      <c r="Y578" s="186">
        <v>0</v>
      </c>
      <c r="Z578" s="186">
        <v>0</v>
      </c>
      <c r="AA578" s="186">
        <v>0</v>
      </c>
      <c r="AB578" s="186">
        <v>0</v>
      </c>
      <c r="AC578" s="187">
        <v>48.6</v>
      </c>
      <c r="AD578" s="187" t="s">
        <v>24</v>
      </c>
      <c r="AE578" s="186">
        <v>0</v>
      </c>
      <c r="AF578" s="187">
        <v>0</v>
      </c>
      <c r="AG578" s="186">
        <v>0</v>
      </c>
      <c r="AH578" s="187">
        <v>0</v>
      </c>
      <c r="AI578" s="186">
        <v>0</v>
      </c>
      <c r="AJ578" s="647">
        <v>0</v>
      </c>
    </row>
    <row r="579" spans="1:36" x14ac:dyDescent="0.2">
      <c r="A579" s="190" t="s">
        <v>82</v>
      </c>
      <c r="B579" s="642">
        <v>3</v>
      </c>
      <c r="C579" s="184">
        <v>1</v>
      </c>
      <c r="D579" s="184">
        <v>2</v>
      </c>
      <c r="E579" s="184">
        <v>0</v>
      </c>
      <c r="F579" s="184">
        <v>0</v>
      </c>
      <c r="G579" s="184">
        <v>0</v>
      </c>
      <c r="H579" s="184">
        <v>0</v>
      </c>
      <c r="I579" s="184">
        <v>0</v>
      </c>
      <c r="J579" s="184">
        <v>0</v>
      </c>
      <c r="K579" s="184">
        <v>0</v>
      </c>
      <c r="L579" s="184">
        <v>0</v>
      </c>
      <c r="M579" s="654" t="s">
        <v>24</v>
      </c>
      <c r="N579" s="669" t="s">
        <v>82</v>
      </c>
      <c r="O579" s="642">
        <v>0</v>
      </c>
      <c r="P579" s="184">
        <v>0</v>
      </c>
      <c r="Q579" s="184">
        <v>0</v>
      </c>
      <c r="R579" s="184">
        <v>1</v>
      </c>
      <c r="S579" s="184">
        <v>0</v>
      </c>
      <c r="T579" s="184">
        <v>0</v>
      </c>
      <c r="U579" s="184">
        <v>0</v>
      </c>
      <c r="V579" s="184">
        <v>0</v>
      </c>
      <c r="W579" s="184">
        <v>1</v>
      </c>
      <c r="X579" s="184">
        <v>1</v>
      </c>
      <c r="Y579" s="184">
        <v>0</v>
      </c>
      <c r="Z579" s="184">
        <v>0</v>
      </c>
      <c r="AA579" s="184">
        <v>0</v>
      </c>
      <c r="AB579" s="184">
        <v>0</v>
      </c>
      <c r="AC579" s="185">
        <v>41.9</v>
      </c>
      <c r="AD579" s="185" t="s">
        <v>24</v>
      </c>
      <c r="AE579" s="184">
        <v>0</v>
      </c>
      <c r="AF579" s="185">
        <v>0</v>
      </c>
      <c r="AG579" s="184">
        <v>0</v>
      </c>
      <c r="AH579" s="185">
        <v>0</v>
      </c>
      <c r="AI579" s="184">
        <v>0</v>
      </c>
      <c r="AJ579" s="643">
        <v>0</v>
      </c>
    </row>
    <row r="580" spans="1:36" x14ac:dyDescent="0.2">
      <c r="A580" s="190" t="s">
        <v>83</v>
      </c>
      <c r="B580" s="642">
        <v>3</v>
      </c>
      <c r="C580" s="184">
        <v>0</v>
      </c>
      <c r="D580" s="184">
        <v>3</v>
      </c>
      <c r="E580" s="184">
        <v>0</v>
      </c>
      <c r="F580" s="184">
        <v>0</v>
      </c>
      <c r="G580" s="184">
        <v>0</v>
      </c>
      <c r="H580" s="184">
        <v>0</v>
      </c>
      <c r="I580" s="184">
        <v>0</v>
      </c>
      <c r="J580" s="184">
        <v>0</v>
      </c>
      <c r="K580" s="184">
        <v>0</v>
      </c>
      <c r="L580" s="184">
        <v>0</v>
      </c>
      <c r="M580" s="654" t="s">
        <v>24</v>
      </c>
      <c r="N580" s="669" t="s">
        <v>83</v>
      </c>
      <c r="O580" s="642">
        <v>0</v>
      </c>
      <c r="P580" s="184">
        <v>0</v>
      </c>
      <c r="Q580" s="184">
        <v>0</v>
      </c>
      <c r="R580" s="184">
        <v>0</v>
      </c>
      <c r="S580" s="184">
        <v>0</v>
      </c>
      <c r="T580" s="184">
        <v>0</v>
      </c>
      <c r="U580" s="184">
        <v>1</v>
      </c>
      <c r="V580" s="184">
        <v>0</v>
      </c>
      <c r="W580" s="184">
        <v>1</v>
      </c>
      <c r="X580" s="184">
        <v>1</v>
      </c>
      <c r="Y580" s="184">
        <v>0</v>
      </c>
      <c r="Z580" s="184">
        <v>0</v>
      </c>
      <c r="AA580" s="184">
        <v>0</v>
      </c>
      <c r="AB580" s="184">
        <v>0</v>
      </c>
      <c r="AC580" s="185">
        <v>45.2</v>
      </c>
      <c r="AD580" s="185" t="s">
        <v>24</v>
      </c>
      <c r="AE580" s="184">
        <v>0</v>
      </c>
      <c r="AF580" s="185">
        <v>0</v>
      </c>
      <c r="AG580" s="184">
        <v>0</v>
      </c>
      <c r="AH580" s="185">
        <v>0</v>
      </c>
      <c r="AI580" s="184">
        <v>0</v>
      </c>
      <c r="AJ580" s="643">
        <v>0</v>
      </c>
    </row>
    <row r="581" spans="1:36" x14ac:dyDescent="0.2">
      <c r="A581" s="190" t="s">
        <v>84</v>
      </c>
      <c r="B581" s="642">
        <v>2</v>
      </c>
      <c r="C581" s="184">
        <v>0</v>
      </c>
      <c r="D581" s="184">
        <v>2</v>
      </c>
      <c r="E581" s="184">
        <v>0</v>
      </c>
      <c r="F581" s="184">
        <v>0</v>
      </c>
      <c r="G581" s="184">
        <v>0</v>
      </c>
      <c r="H581" s="184">
        <v>0</v>
      </c>
      <c r="I581" s="184">
        <v>0</v>
      </c>
      <c r="J581" s="184">
        <v>0</v>
      </c>
      <c r="K581" s="184">
        <v>0</v>
      </c>
      <c r="L581" s="184">
        <v>0</v>
      </c>
      <c r="M581" s="654" t="s">
        <v>24</v>
      </c>
      <c r="N581" s="669" t="s">
        <v>84</v>
      </c>
      <c r="O581" s="642">
        <v>0</v>
      </c>
      <c r="P581" s="184">
        <v>0</v>
      </c>
      <c r="Q581" s="184">
        <v>0</v>
      </c>
      <c r="R581" s="184">
        <v>0</v>
      </c>
      <c r="S581" s="184">
        <v>0</v>
      </c>
      <c r="T581" s="184">
        <v>0</v>
      </c>
      <c r="U581" s="184">
        <v>0</v>
      </c>
      <c r="V581" s="184">
        <v>1</v>
      </c>
      <c r="W581" s="184">
        <v>1</v>
      </c>
      <c r="X581" s="184">
        <v>0</v>
      </c>
      <c r="Y581" s="184">
        <v>0</v>
      </c>
      <c r="Z581" s="184">
        <v>0</v>
      </c>
      <c r="AA581" s="184">
        <v>0</v>
      </c>
      <c r="AB581" s="184">
        <v>0</v>
      </c>
      <c r="AC581" s="185">
        <v>45.5</v>
      </c>
      <c r="AD581" s="185" t="s">
        <v>24</v>
      </c>
      <c r="AE581" s="184">
        <v>0</v>
      </c>
      <c r="AF581" s="185">
        <v>0</v>
      </c>
      <c r="AG581" s="184">
        <v>0</v>
      </c>
      <c r="AH581" s="185">
        <v>0</v>
      </c>
      <c r="AI581" s="184">
        <v>0</v>
      </c>
      <c r="AJ581" s="643">
        <v>0</v>
      </c>
    </row>
    <row r="582" spans="1:36" x14ac:dyDescent="0.2">
      <c r="A582" s="190" t="s">
        <v>51</v>
      </c>
      <c r="B582" s="642">
        <v>1</v>
      </c>
      <c r="C582" s="184">
        <v>0</v>
      </c>
      <c r="D582" s="184">
        <v>1</v>
      </c>
      <c r="E582" s="184">
        <v>0</v>
      </c>
      <c r="F582" s="184">
        <v>0</v>
      </c>
      <c r="G582" s="184">
        <v>0</v>
      </c>
      <c r="H582" s="184">
        <v>0</v>
      </c>
      <c r="I582" s="184">
        <v>0</v>
      </c>
      <c r="J582" s="184">
        <v>0</v>
      </c>
      <c r="K582" s="184">
        <v>0</v>
      </c>
      <c r="L582" s="184">
        <v>0</v>
      </c>
      <c r="M582" s="654" t="s">
        <v>24</v>
      </c>
      <c r="N582" s="669" t="s">
        <v>51</v>
      </c>
      <c r="O582" s="642">
        <v>0</v>
      </c>
      <c r="P582" s="184">
        <v>0</v>
      </c>
      <c r="Q582" s="184">
        <v>0</v>
      </c>
      <c r="R582" s="184">
        <v>1</v>
      </c>
      <c r="S582" s="184">
        <v>0</v>
      </c>
      <c r="T582" s="184">
        <v>0</v>
      </c>
      <c r="U582" s="184">
        <v>0</v>
      </c>
      <c r="V582" s="184">
        <v>0</v>
      </c>
      <c r="W582" s="184">
        <v>0</v>
      </c>
      <c r="X582" s="184">
        <v>0</v>
      </c>
      <c r="Y582" s="184">
        <v>0</v>
      </c>
      <c r="Z582" s="184">
        <v>0</v>
      </c>
      <c r="AA582" s="184">
        <v>0</v>
      </c>
      <c r="AB582" s="184">
        <v>0</v>
      </c>
      <c r="AC582" s="185">
        <v>22.6</v>
      </c>
      <c r="AD582" s="185" t="s">
        <v>24</v>
      </c>
      <c r="AE582" s="184">
        <v>0</v>
      </c>
      <c r="AF582" s="185">
        <v>0</v>
      </c>
      <c r="AG582" s="184">
        <v>0</v>
      </c>
      <c r="AH582" s="185">
        <v>0</v>
      </c>
      <c r="AI582" s="184">
        <v>0</v>
      </c>
      <c r="AJ582" s="643">
        <v>0</v>
      </c>
    </row>
    <row r="583" spans="1:36" x14ac:dyDescent="0.2">
      <c r="A583" s="190" t="s">
        <v>85</v>
      </c>
      <c r="B583" s="642">
        <v>4</v>
      </c>
      <c r="C583" s="184">
        <v>1</v>
      </c>
      <c r="D583" s="184">
        <v>3</v>
      </c>
      <c r="E583" s="184">
        <v>0</v>
      </c>
      <c r="F583" s="184">
        <v>0</v>
      </c>
      <c r="G583" s="184">
        <v>0</v>
      </c>
      <c r="H583" s="184">
        <v>0</v>
      </c>
      <c r="I583" s="184">
        <v>0</v>
      </c>
      <c r="J583" s="184">
        <v>0</v>
      </c>
      <c r="K583" s="184">
        <v>0</v>
      </c>
      <c r="L583" s="184">
        <v>0</v>
      </c>
      <c r="M583" s="654" t="s">
        <v>24</v>
      </c>
      <c r="N583" s="669" t="s">
        <v>85</v>
      </c>
      <c r="O583" s="642">
        <v>0</v>
      </c>
      <c r="P583" s="184">
        <v>0</v>
      </c>
      <c r="Q583" s="184">
        <v>1</v>
      </c>
      <c r="R583" s="184">
        <v>0</v>
      </c>
      <c r="S583" s="184">
        <v>0</v>
      </c>
      <c r="T583" s="184">
        <v>0</v>
      </c>
      <c r="U583" s="184">
        <v>1</v>
      </c>
      <c r="V583" s="184">
        <v>2</v>
      </c>
      <c r="W583" s="184">
        <v>0</v>
      </c>
      <c r="X583" s="184">
        <v>0</v>
      </c>
      <c r="Y583" s="184">
        <v>0</v>
      </c>
      <c r="Z583" s="184">
        <v>0</v>
      </c>
      <c r="AA583" s="184">
        <v>0</v>
      </c>
      <c r="AB583" s="184">
        <v>0</v>
      </c>
      <c r="AC583" s="185">
        <v>36.4</v>
      </c>
      <c r="AD583" s="185" t="s">
        <v>24</v>
      </c>
      <c r="AE583" s="184">
        <v>0</v>
      </c>
      <c r="AF583" s="185">
        <v>0</v>
      </c>
      <c r="AG583" s="184">
        <v>0</v>
      </c>
      <c r="AH583" s="185">
        <v>0</v>
      </c>
      <c r="AI583" s="184">
        <v>0</v>
      </c>
      <c r="AJ583" s="643">
        <v>0</v>
      </c>
    </row>
    <row r="584" spans="1:36" x14ac:dyDescent="0.2">
      <c r="A584" s="190" t="s">
        <v>86</v>
      </c>
      <c r="B584" s="642">
        <v>3</v>
      </c>
      <c r="C584" s="184">
        <v>0</v>
      </c>
      <c r="D584" s="184">
        <v>3</v>
      </c>
      <c r="E584" s="184">
        <v>0</v>
      </c>
      <c r="F584" s="184">
        <v>0</v>
      </c>
      <c r="G584" s="184">
        <v>0</v>
      </c>
      <c r="H584" s="184">
        <v>0</v>
      </c>
      <c r="I584" s="184">
        <v>0</v>
      </c>
      <c r="J584" s="184">
        <v>0</v>
      </c>
      <c r="K584" s="184">
        <v>0</v>
      </c>
      <c r="L584" s="184">
        <v>0</v>
      </c>
      <c r="M584" s="654" t="s">
        <v>24</v>
      </c>
      <c r="N584" s="669" t="s">
        <v>86</v>
      </c>
      <c r="O584" s="642">
        <v>0</v>
      </c>
      <c r="P584" s="184">
        <v>0</v>
      </c>
      <c r="Q584" s="184">
        <v>0</v>
      </c>
      <c r="R584" s="184">
        <v>0</v>
      </c>
      <c r="S584" s="184">
        <v>0</v>
      </c>
      <c r="T584" s="184">
        <v>2</v>
      </c>
      <c r="U584" s="184">
        <v>0</v>
      </c>
      <c r="V584" s="184">
        <v>1</v>
      </c>
      <c r="W584" s="184">
        <v>0</v>
      </c>
      <c r="X584" s="184">
        <v>0</v>
      </c>
      <c r="Y584" s="184">
        <v>0</v>
      </c>
      <c r="Z584" s="184">
        <v>0</v>
      </c>
      <c r="AA584" s="184">
        <v>0</v>
      </c>
      <c r="AB584" s="184">
        <v>0</v>
      </c>
      <c r="AC584" s="185">
        <v>36.4</v>
      </c>
      <c r="AD584" s="185" t="s">
        <v>24</v>
      </c>
      <c r="AE584" s="184">
        <v>0</v>
      </c>
      <c r="AF584" s="185">
        <v>0</v>
      </c>
      <c r="AG584" s="184">
        <v>0</v>
      </c>
      <c r="AH584" s="185">
        <v>0</v>
      </c>
      <c r="AI584" s="184">
        <v>0</v>
      </c>
      <c r="AJ584" s="643">
        <v>0</v>
      </c>
    </row>
    <row r="585" spans="1:36" x14ac:dyDescent="0.2">
      <c r="A585" s="190" t="s">
        <v>87</v>
      </c>
      <c r="B585" s="642">
        <v>4</v>
      </c>
      <c r="C585" s="184">
        <v>0</v>
      </c>
      <c r="D585" s="184">
        <v>4</v>
      </c>
      <c r="E585" s="184">
        <v>0</v>
      </c>
      <c r="F585" s="184">
        <v>0</v>
      </c>
      <c r="G585" s="184">
        <v>0</v>
      </c>
      <c r="H585" s="184">
        <v>0</v>
      </c>
      <c r="I585" s="184">
        <v>0</v>
      </c>
      <c r="J585" s="184">
        <v>0</v>
      </c>
      <c r="K585" s="184">
        <v>0</v>
      </c>
      <c r="L585" s="184">
        <v>0</v>
      </c>
      <c r="M585" s="654" t="s">
        <v>24</v>
      </c>
      <c r="N585" s="669" t="s">
        <v>87</v>
      </c>
      <c r="O585" s="642">
        <v>0</v>
      </c>
      <c r="P585" s="184">
        <v>0</v>
      </c>
      <c r="Q585" s="184">
        <v>0</v>
      </c>
      <c r="R585" s="184">
        <v>0</v>
      </c>
      <c r="S585" s="184">
        <v>1</v>
      </c>
      <c r="T585" s="184">
        <v>2</v>
      </c>
      <c r="U585" s="184">
        <v>0</v>
      </c>
      <c r="V585" s="184">
        <v>0</v>
      </c>
      <c r="W585" s="184">
        <v>0</v>
      </c>
      <c r="X585" s="184">
        <v>1</v>
      </c>
      <c r="Y585" s="184">
        <v>0</v>
      </c>
      <c r="Z585" s="184">
        <v>0</v>
      </c>
      <c r="AA585" s="184">
        <v>0</v>
      </c>
      <c r="AB585" s="184">
        <v>0</v>
      </c>
      <c r="AC585" s="185">
        <v>36.5</v>
      </c>
      <c r="AD585" s="185" t="s">
        <v>24</v>
      </c>
      <c r="AE585" s="184">
        <v>0</v>
      </c>
      <c r="AF585" s="185">
        <v>0</v>
      </c>
      <c r="AG585" s="184">
        <v>0</v>
      </c>
      <c r="AH585" s="185">
        <v>0</v>
      </c>
      <c r="AI585" s="184">
        <v>0</v>
      </c>
      <c r="AJ585" s="643">
        <v>0</v>
      </c>
    </row>
    <row r="586" spans="1:36" x14ac:dyDescent="0.2">
      <c r="A586" s="190" t="s">
        <v>53</v>
      </c>
      <c r="B586" s="646">
        <v>3</v>
      </c>
      <c r="C586" s="186">
        <v>0</v>
      </c>
      <c r="D586" s="186">
        <v>3</v>
      </c>
      <c r="E586" s="186">
        <v>0</v>
      </c>
      <c r="F586" s="186">
        <v>0</v>
      </c>
      <c r="G586" s="186">
        <v>0</v>
      </c>
      <c r="H586" s="186">
        <v>0</v>
      </c>
      <c r="I586" s="186">
        <v>0</v>
      </c>
      <c r="J586" s="186">
        <v>0</v>
      </c>
      <c r="K586" s="186">
        <v>0</v>
      </c>
      <c r="L586" s="186">
        <v>0</v>
      </c>
      <c r="M586" s="656" t="s">
        <v>24</v>
      </c>
      <c r="N586" s="669" t="s">
        <v>53</v>
      </c>
      <c r="O586" s="646">
        <v>0</v>
      </c>
      <c r="P586" s="186">
        <v>0</v>
      </c>
      <c r="Q586" s="186">
        <v>0</v>
      </c>
      <c r="R586" s="186">
        <v>0</v>
      </c>
      <c r="S586" s="186">
        <v>0</v>
      </c>
      <c r="T586" s="186">
        <v>1</v>
      </c>
      <c r="U586" s="186">
        <v>1</v>
      </c>
      <c r="V586" s="186">
        <v>0</v>
      </c>
      <c r="W586" s="186">
        <v>0</v>
      </c>
      <c r="X586" s="186">
        <v>1</v>
      </c>
      <c r="Y586" s="186">
        <v>0</v>
      </c>
      <c r="Z586" s="186">
        <v>0</v>
      </c>
      <c r="AA586" s="186">
        <v>0</v>
      </c>
      <c r="AB586" s="186">
        <v>0</v>
      </c>
      <c r="AC586" s="187">
        <v>41</v>
      </c>
      <c r="AD586" s="187" t="s">
        <v>24</v>
      </c>
      <c r="AE586" s="186">
        <v>0</v>
      </c>
      <c r="AF586" s="187">
        <v>0</v>
      </c>
      <c r="AG586" s="186">
        <v>0</v>
      </c>
      <c r="AH586" s="187">
        <v>0</v>
      </c>
      <c r="AI586" s="186">
        <v>0</v>
      </c>
      <c r="AJ586" s="647">
        <v>0</v>
      </c>
    </row>
    <row r="587" spans="1:36" x14ac:dyDescent="0.2">
      <c r="A587" s="190" t="s">
        <v>88</v>
      </c>
      <c r="B587" s="642">
        <v>5</v>
      </c>
      <c r="C587" s="184">
        <v>0</v>
      </c>
      <c r="D587" s="184">
        <v>5</v>
      </c>
      <c r="E587" s="184">
        <v>0</v>
      </c>
      <c r="F587" s="184">
        <v>0</v>
      </c>
      <c r="G587" s="184">
        <v>0</v>
      </c>
      <c r="H587" s="184">
        <v>0</v>
      </c>
      <c r="I587" s="184">
        <v>0</v>
      </c>
      <c r="J587" s="184">
        <v>0</v>
      </c>
      <c r="K587" s="184">
        <v>0</v>
      </c>
      <c r="L587" s="184">
        <v>0</v>
      </c>
      <c r="M587" s="654" t="s">
        <v>24</v>
      </c>
      <c r="N587" s="669" t="s">
        <v>88</v>
      </c>
      <c r="O587" s="642">
        <v>0</v>
      </c>
      <c r="P587" s="184">
        <v>0</v>
      </c>
      <c r="Q587" s="184">
        <v>0</v>
      </c>
      <c r="R587" s="184">
        <v>0</v>
      </c>
      <c r="S587" s="184">
        <v>0</v>
      </c>
      <c r="T587" s="184">
        <v>0</v>
      </c>
      <c r="U587" s="184">
        <v>4</v>
      </c>
      <c r="V587" s="184">
        <v>0</v>
      </c>
      <c r="W587" s="184">
        <v>1</v>
      </c>
      <c r="X587" s="184">
        <v>0</v>
      </c>
      <c r="Y587" s="184">
        <v>0</v>
      </c>
      <c r="Z587" s="184">
        <v>0</v>
      </c>
      <c r="AA587" s="184">
        <v>0</v>
      </c>
      <c r="AB587" s="184">
        <v>0</v>
      </c>
      <c r="AC587" s="185">
        <v>40.1</v>
      </c>
      <c r="AD587" s="185" t="s">
        <v>24</v>
      </c>
      <c r="AE587" s="184">
        <v>0</v>
      </c>
      <c r="AF587" s="185">
        <v>0</v>
      </c>
      <c r="AG587" s="184">
        <v>0</v>
      </c>
      <c r="AH587" s="185">
        <v>0</v>
      </c>
      <c r="AI587" s="184">
        <v>0</v>
      </c>
      <c r="AJ587" s="643">
        <v>0</v>
      </c>
    </row>
    <row r="588" spans="1:36" x14ac:dyDescent="0.2">
      <c r="A588" s="190" t="s">
        <v>89</v>
      </c>
      <c r="B588" s="642">
        <v>8</v>
      </c>
      <c r="C588" s="184">
        <v>0</v>
      </c>
      <c r="D588" s="184">
        <v>8</v>
      </c>
      <c r="E588" s="184">
        <v>0</v>
      </c>
      <c r="F588" s="184">
        <v>0</v>
      </c>
      <c r="G588" s="184">
        <v>0</v>
      </c>
      <c r="H588" s="184">
        <v>0</v>
      </c>
      <c r="I588" s="184">
        <v>0</v>
      </c>
      <c r="J588" s="184">
        <v>0</v>
      </c>
      <c r="K588" s="184">
        <v>0</v>
      </c>
      <c r="L588" s="184">
        <v>0</v>
      </c>
      <c r="M588" s="654" t="s">
        <v>24</v>
      </c>
      <c r="N588" s="669" t="s">
        <v>89</v>
      </c>
      <c r="O588" s="642">
        <v>0</v>
      </c>
      <c r="P588" s="184">
        <v>0</v>
      </c>
      <c r="Q588" s="184">
        <v>0</v>
      </c>
      <c r="R588" s="184">
        <v>0</v>
      </c>
      <c r="S588" s="184">
        <v>1</v>
      </c>
      <c r="T588" s="184">
        <v>0</v>
      </c>
      <c r="U588" s="184">
        <v>4</v>
      </c>
      <c r="V588" s="184">
        <v>2</v>
      </c>
      <c r="W588" s="184">
        <v>0</v>
      </c>
      <c r="X588" s="184">
        <v>1</v>
      </c>
      <c r="Y588" s="184">
        <v>0</v>
      </c>
      <c r="Z588" s="184">
        <v>0</v>
      </c>
      <c r="AA588" s="184">
        <v>0</v>
      </c>
      <c r="AB588" s="184">
        <v>0</v>
      </c>
      <c r="AC588" s="185">
        <v>38.9</v>
      </c>
      <c r="AD588" s="185" t="s">
        <v>24</v>
      </c>
      <c r="AE588" s="184">
        <v>0</v>
      </c>
      <c r="AF588" s="185">
        <v>0</v>
      </c>
      <c r="AG588" s="184">
        <v>0</v>
      </c>
      <c r="AH588" s="185">
        <v>0</v>
      </c>
      <c r="AI588" s="184">
        <v>0</v>
      </c>
      <c r="AJ588" s="643">
        <v>0</v>
      </c>
    </row>
    <row r="589" spans="1:36" x14ac:dyDescent="0.2">
      <c r="A589" s="190" t="s">
        <v>90</v>
      </c>
      <c r="B589" s="642">
        <v>7</v>
      </c>
      <c r="C589" s="184">
        <v>1</v>
      </c>
      <c r="D589" s="184">
        <v>5</v>
      </c>
      <c r="E589" s="184">
        <v>0</v>
      </c>
      <c r="F589" s="184">
        <v>0</v>
      </c>
      <c r="G589" s="184">
        <v>0</v>
      </c>
      <c r="H589" s="184">
        <v>0</v>
      </c>
      <c r="I589" s="184">
        <v>0</v>
      </c>
      <c r="J589" s="184">
        <v>1</v>
      </c>
      <c r="K589" s="184">
        <v>0</v>
      </c>
      <c r="L589" s="184">
        <v>0</v>
      </c>
      <c r="M589" s="654" t="s">
        <v>24</v>
      </c>
      <c r="N589" s="669" t="s">
        <v>90</v>
      </c>
      <c r="O589" s="642">
        <v>0</v>
      </c>
      <c r="P589" s="184">
        <v>0</v>
      </c>
      <c r="Q589" s="184">
        <v>0</v>
      </c>
      <c r="R589" s="184">
        <v>0</v>
      </c>
      <c r="S589" s="184">
        <v>2</v>
      </c>
      <c r="T589" s="184">
        <v>2</v>
      </c>
      <c r="U589" s="184">
        <v>1</v>
      </c>
      <c r="V589" s="184">
        <v>1</v>
      </c>
      <c r="W589" s="184">
        <v>1</v>
      </c>
      <c r="X589" s="184">
        <v>0</v>
      </c>
      <c r="Y589" s="184">
        <v>0</v>
      </c>
      <c r="Z589" s="184">
        <v>0</v>
      </c>
      <c r="AA589" s="184">
        <v>0</v>
      </c>
      <c r="AB589" s="184">
        <v>0</v>
      </c>
      <c r="AC589" s="185">
        <v>36.299999999999997</v>
      </c>
      <c r="AD589" s="185" t="s">
        <v>24</v>
      </c>
      <c r="AE589" s="184">
        <v>0</v>
      </c>
      <c r="AF589" s="185">
        <v>0</v>
      </c>
      <c r="AG589" s="184">
        <v>0</v>
      </c>
      <c r="AH589" s="185">
        <v>0</v>
      </c>
      <c r="AI589" s="184">
        <v>0</v>
      </c>
      <c r="AJ589" s="643">
        <v>0</v>
      </c>
    </row>
    <row r="590" spans="1:36" x14ac:dyDescent="0.2">
      <c r="A590" s="190" t="s">
        <v>55</v>
      </c>
      <c r="B590" s="642">
        <v>2</v>
      </c>
      <c r="C590" s="184">
        <v>0</v>
      </c>
      <c r="D590" s="184">
        <v>2</v>
      </c>
      <c r="E590" s="184">
        <v>0</v>
      </c>
      <c r="F590" s="184">
        <v>0</v>
      </c>
      <c r="G590" s="184">
        <v>0</v>
      </c>
      <c r="H590" s="184">
        <v>0</v>
      </c>
      <c r="I590" s="184">
        <v>0</v>
      </c>
      <c r="J590" s="184">
        <v>0</v>
      </c>
      <c r="K590" s="184">
        <v>0</v>
      </c>
      <c r="L590" s="184">
        <v>0</v>
      </c>
      <c r="M590" s="654" t="s">
        <v>24</v>
      </c>
      <c r="N590" s="669" t="s">
        <v>55</v>
      </c>
      <c r="O590" s="642">
        <v>0</v>
      </c>
      <c r="P590" s="184">
        <v>0</v>
      </c>
      <c r="Q590" s="184">
        <v>0</v>
      </c>
      <c r="R590" s="184">
        <v>0</v>
      </c>
      <c r="S590" s="184">
        <v>1</v>
      </c>
      <c r="T590" s="184">
        <v>1</v>
      </c>
      <c r="U590" s="184">
        <v>0</v>
      </c>
      <c r="V590" s="184">
        <v>0</v>
      </c>
      <c r="W590" s="184">
        <v>0</v>
      </c>
      <c r="X590" s="184">
        <v>0</v>
      </c>
      <c r="Y590" s="184">
        <v>0</v>
      </c>
      <c r="Z590" s="184">
        <v>0</v>
      </c>
      <c r="AA590" s="184">
        <v>0</v>
      </c>
      <c r="AB590" s="184">
        <v>0</v>
      </c>
      <c r="AC590" s="185">
        <v>31.9</v>
      </c>
      <c r="AD590" s="185" t="s">
        <v>24</v>
      </c>
      <c r="AE590" s="184">
        <v>0</v>
      </c>
      <c r="AF590" s="185">
        <v>0</v>
      </c>
      <c r="AG590" s="184">
        <v>0</v>
      </c>
      <c r="AH590" s="185">
        <v>0</v>
      </c>
      <c r="AI590" s="184">
        <v>0</v>
      </c>
      <c r="AJ590" s="643">
        <v>0</v>
      </c>
    </row>
    <row r="591" spans="1:36" x14ac:dyDescent="0.2">
      <c r="A591" s="190" t="s">
        <v>91</v>
      </c>
      <c r="B591" s="642">
        <v>7</v>
      </c>
      <c r="C591" s="184">
        <v>0</v>
      </c>
      <c r="D591" s="184">
        <v>6</v>
      </c>
      <c r="E591" s="184">
        <v>0</v>
      </c>
      <c r="F591" s="184">
        <v>1</v>
      </c>
      <c r="G591" s="184">
        <v>0</v>
      </c>
      <c r="H591" s="184">
        <v>0</v>
      </c>
      <c r="I591" s="184">
        <v>0</v>
      </c>
      <c r="J591" s="184">
        <v>0</v>
      </c>
      <c r="K591" s="184">
        <v>0</v>
      </c>
      <c r="L591" s="184">
        <v>0</v>
      </c>
      <c r="M591" s="654" t="s">
        <v>24</v>
      </c>
      <c r="N591" s="669" t="s">
        <v>91</v>
      </c>
      <c r="O591" s="642">
        <v>0</v>
      </c>
      <c r="P591" s="184">
        <v>0</v>
      </c>
      <c r="Q591" s="184">
        <v>0</v>
      </c>
      <c r="R591" s="184">
        <v>1</v>
      </c>
      <c r="S591" s="184">
        <v>1</v>
      </c>
      <c r="T591" s="184">
        <v>2</v>
      </c>
      <c r="U591" s="184">
        <v>2</v>
      </c>
      <c r="V591" s="184">
        <v>1</v>
      </c>
      <c r="W591" s="184">
        <v>0</v>
      </c>
      <c r="X591" s="184">
        <v>0</v>
      </c>
      <c r="Y591" s="184">
        <v>0</v>
      </c>
      <c r="Z591" s="184">
        <v>0</v>
      </c>
      <c r="AA591" s="184">
        <v>0</v>
      </c>
      <c r="AB591" s="184">
        <v>0</v>
      </c>
      <c r="AC591" s="185">
        <v>33.6</v>
      </c>
      <c r="AD591" s="185" t="s">
        <v>24</v>
      </c>
      <c r="AE591" s="184">
        <v>0</v>
      </c>
      <c r="AF591" s="185">
        <v>0</v>
      </c>
      <c r="AG591" s="184">
        <v>0</v>
      </c>
      <c r="AH591" s="185">
        <v>0</v>
      </c>
      <c r="AI591" s="184">
        <v>0</v>
      </c>
      <c r="AJ591" s="643">
        <v>0</v>
      </c>
    </row>
    <row r="592" spans="1:36" x14ac:dyDescent="0.2">
      <c r="A592" s="190" t="s">
        <v>92</v>
      </c>
      <c r="B592" s="642">
        <v>20</v>
      </c>
      <c r="C592" s="184">
        <v>0</v>
      </c>
      <c r="D592" s="184">
        <v>18</v>
      </c>
      <c r="E592" s="184">
        <v>0</v>
      </c>
      <c r="F592" s="184">
        <v>2</v>
      </c>
      <c r="G592" s="184">
        <v>0</v>
      </c>
      <c r="H592" s="184">
        <v>0</v>
      </c>
      <c r="I592" s="184">
        <v>0</v>
      </c>
      <c r="J592" s="184">
        <v>0</v>
      </c>
      <c r="K592" s="184">
        <v>0</v>
      </c>
      <c r="L592" s="184">
        <v>0</v>
      </c>
      <c r="M592" s="654" t="s">
        <v>24</v>
      </c>
      <c r="N592" s="669" t="s">
        <v>92</v>
      </c>
      <c r="O592" s="642">
        <v>0</v>
      </c>
      <c r="P592" s="184">
        <v>0</v>
      </c>
      <c r="Q592" s="184">
        <v>1</v>
      </c>
      <c r="R592" s="184">
        <v>0</v>
      </c>
      <c r="S592" s="184">
        <v>5</v>
      </c>
      <c r="T592" s="184">
        <v>2</v>
      </c>
      <c r="U592" s="184">
        <v>10</v>
      </c>
      <c r="V592" s="184">
        <v>2</v>
      </c>
      <c r="W592" s="184">
        <v>0</v>
      </c>
      <c r="X592" s="184">
        <v>0</v>
      </c>
      <c r="Y592" s="184">
        <v>0</v>
      </c>
      <c r="Z592" s="184">
        <v>0</v>
      </c>
      <c r="AA592" s="184">
        <v>0</v>
      </c>
      <c r="AB592" s="184">
        <v>0</v>
      </c>
      <c r="AC592" s="185">
        <v>34.200000000000003</v>
      </c>
      <c r="AD592" s="185">
        <v>38.9</v>
      </c>
      <c r="AE592" s="184">
        <v>0</v>
      </c>
      <c r="AF592" s="185">
        <v>0</v>
      </c>
      <c r="AG592" s="184">
        <v>0</v>
      </c>
      <c r="AH592" s="185">
        <v>0</v>
      </c>
      <c r="AI592" s="184">
        <v>0</v>
      </c>
      <c r="AJ592" s="643">
        <v>0</v>
      </c>
    </row>
    <row r="593" spans="1:36" x14ac:dyDescent="0.2">
      <c r="A593" s="190" t="s">
        <v>93</v>
      </c>
      <c r="B593" s="642">
        <v>13</v>
      </c>
      <c r="C593" s="184">
        <v>0</v>
      </c>
      <c r="D593" s="184">
        <v>13</v>
      </c>
      <c r="E593" s="184">
        <v>0</v>
      </c>
      <c r="F593" s="184">
        <v>0</v>
      </c>
      <c r="G593" s="184">
        <v>0</v>
      </c>
      <c r="H593" s="184">
        <v>0</v>
      </c>
      <c r="I593" s="184">
        <v>0</v>
      </c>
      <c r="J593" s="184">
        <v>0</v>
      </c>
      <c r="K593" s="184">
        <v>0</v>
      </c>
      <c r="L593" s="184">
        <v>0</v>
      </c>
      <c r="M593" s="654" t="s">
        <v>24</v>
      </c>
      <c r="N593" s="669" t="s">
        <v>93</v>
      </c>
      <c r="O593" s="642">
        <v>0</v>
      </c>
      <c r="P593" s="184">
        <v>0</v>
      </c>
      <c r="Q593" s="184">
        <v>0</v>
      </c>
      <c r="R593" s="184">
        <v>1</v>
      </c>
      <c r="S593" s="184">
        <v>3</v>
      </c>
      <c r="T593" s="184">
        <v>2</v>
      </c>
      <c r="U593" s="184">
        <v>3</v>
      </c>
      <c r="V593" s="184">
        <v>4</v>
      </c>
      <c r="W593" s="184">
        <v>0</v>
      </c>
      <c r="X593" s="184">
        <v>0</v>
      </c>
      <c r="Y593" s="184">
        <v>0</v>
      </c>
      <c r="Z593" s="184">
        <v>0</v>
      </c>
      <c r="AA593" s="184">
        <v>0</v>
      </c>
      <c r="AB593" s="184">
        <v>0</v>
      </c>
      <c r="AC593" s="185">
        <v>34.299999999999997</v>
      </c>
      <c r="AD593" s="185">
        <v>41.5</v>
      </c>
      <c r="AE593" s="184">
        <v>0</v>
      </c>
      <c r="AF593" s="185">
        <v>0</v>
      </c>
      <c r="AG593" s="184">
        <v>0</v>
      </c>
      <c r="AH593" s="185">
        <v>0</v>
      </c>
      <c r="AI593" s="184">
        <v>0</v>
      </c>
      <c r="AJ593" s="643">
        <v>0</v>
      </c>
    </row>
    <row r="594" spans="1:36" x14ac:dyDescent="0.2">
      <c r="A594" s="190" t="s">
        <v>57</v>
      </c>
      <c r="B594" s="642">
        <v>10</v>
      </c>
      <c r="C594" s="184">
        <v>0</v>
      </c>
      <c r="D594" s="184">
        <v>9</v>
      </c>
      <c r="E594" s="184">
        <v>0</v>
      </c>
      <c r="F594" s="184">
        <v>1</v>
      </c>
      <c r="G594" s="184">
        <v>0</v>
      </c>
      <c r="H594" s="184">
        <v>0</v>
      </c>
      <c r="I594" s="184">
        <v>0</v>
      </c>
      <c r="J594" s="184">
        <v>0</v>
      </c>
      <c r="K594" s="184">
        <v>0</v>
      </c>
      <c r="L594" s="184">
        <v>0</v>
      </c>
      <c r="M594" s="654" t="s">
        <v>24</v>
      </c>
      <c r="N594" s="669" t="s">
        <v>57</v>
      </c>
      <c r="O594" s="642">
        <v>0</v>
      </c>
      <c r="P594" s="184">
        <v>0</v>
      </c>
      <c r="Q594" s="184">
        <v>0</v>
      </c>
      <c r="R594" s="184">
        <v>1</v>
      </c>
      <c r="S594" s="184">
        <v>2</v>
      </c>
      <c r="T594" s="184">
        <v>0</v>
      </c>
      <c r="U594" s="184">
        <v>4</v>
      </c>
      <c r="V594" s="184">
        <v>3</v>
      </c>
      <c r="W594" s="184">
        <v>0</v>
      </c>
      <c r="X594" s="184">
        <v>0</v>
      </c>
      <c r="Y594" s="184">
        <v>0</v>
      </c>
      <c r="Z594" s="184">
        <v>0</v>
      </c>
      <c r="AA594" s="184">
        <v>0</v>
      </c>
      <c r="AB594" s="184">
        <v>0</v>
      </c>
      <c r="AC594" s="185">
        <v>34.9</v>
      </c>
      <c r="AD594" s="185" t="s">
        <v>24</v>
      </c>
      <c r="AE594" s="184">
        <v>0</v>
      </c>
      <c r="AF594" s="185">
        <v>0</v>
      </c>
      <c r="AG594" s="184">
        <v>0</v>
      </c>
      <c r="AH594" s="185">
        <v>0</v>
      </c>
      <c r="AI594" s="184">
        <v>0</v>
      </c>
      <c r="AJ594" s="643">
        <v>0</v>
      </c>
    </row>
    <row r="595" spans="1:36" x14ac:dyDescent="0.2">
      <c r="A595" s="190" t="s">
        <v>94</v>
      </c>
      <c r="B595" s="642">
        <v>26</v>
      </c>
      <c r="C595" s="184">
        <v>0</v>
      </c>
      <c r="D595" s="184">
        <v>25</v>
      </c>
      <c r="E595" s="184">
        <v>0</v>
      </c>
      <c r="F595" s="184">
        <v>1</v>
      </c>
      <c r="G595" s="184">
        <v>0</v>
      </c>
      <c r="H595" s="184">
        <v>0</v>
      </c>
      <c r="I595" s="184">
        <v>0</v>
      </c>
      <c r="J595" s="184">
        <v>0</v>
      </c>
      <c r="K595" s="184">
        <v>0</v>
      </c>
      <c r="L595" s="184">
        <v>0</v>
      </c>
      <c r="M595" s="654" t="s">
        <v>24</v>
      </c>
      <c r="N595" s="669" t="s">
        <v>94</v>
      </c>
      <c r="O595" s="642">
        <v>0</v>
      </c>
      <c r="P595" s="184">
        <v>0</v>
      </c>
      <c r="Q595" s="184">
        <v>0</v>
      </c>
      <c r="R595" s="184">
        <v>1</v>
      </c>
      <c r="S595" s="184">
        <v>4</v>
      </c>
      <c r="T595" s="184">
        <v>7</v>
      </c>
      <c r="U595" s="184">
        <v>7</v>
      </c>
      <c r="V595" s="184">
        <v>5</v>
      </c>
      <c r="W595" s="184">
        <v>2</v>
      </c>
      <c r="X595" s="184">
        <v>0</v>
      </c>
      <c r="Y595" s="184">
        <v>0</v>
      </c>
      <c r="Z595" s="184">
        <v>0</v>
      </c>
      <c r="AA595" s="184">
        <v>0</v>
      </c>
      <c r="AB595" s="184">
        <v>0</v>
      </c>
      <c r="AC595" s="185">
        <v>35.6</v>
      </c>
      <c r="AD595" s="185">
        <v>41.3</v>
      </c>
      <c r="AE595" s="184">
        <v>0</v>
      </c>
      <c r="AF595" s="185">
        <v>0</v>
      </c>
      <c r="AG595" s="184">
        <v>0</v>
      </c>
      <c r="AH595" s="185">
        <v>0</v>
      </c>
      <c r="AI595" s="184">
        <v>0</v>
      </c>
      <c r="AJ595" s="643">
        <v>0</v>
      </c>
    </row>
    <row r="596" spans="1:36" x14ac:dyDescent="0.2">
      <c r="A596" s="190" t="s">
        <v>95</v>
      </c>
      <c r="B596" s="642">
        <v>12</v>
      </c>
      <c r="C596" s="184">
        <v>1</v>
      </c>
      <c r="D596" s="184">
        <v>11</v>
      </c>
      <c r="E596" s="184">
        <v>0</v>
      </c>
      <c r="F596" s="184">
        <v>0</v>
      </c>
      <c r="G596" s="184">
        <v>0</v>
      </c>
      <c r="H596" s="184">
        <v>0</v>
      </c>
      <c r="I596" s="184">
        <v>0</v>
      </c>
      <c r="J596" s="184">
        <v>0</v>
      </c>
      <c r="K596" s="184">
        <v>0</v>
      </c>
      <c r="L596" s="184">
        <v>0</v>
      </c>
      <c r="M596" s="654" t="s">
        <v>24</v>
      </c>
      <c r="N596" s="669" t="s">
        <v>95</v>
      </c>
      <c r="O596" s="642">
        <v>0</v>
      </c>
      <c r="P596" s="184">
        <v>0</v>
      </c>
      <c r="Q596" s="184">
        <v>0</v>
      </c>
      <c r="R596" s="184">
        <v>2</v>
      </c>
      <c r="S596" s="184">
        <v>1</v>
      </c>
      <c r="T596" s="184">
        <v>3</v>
      </c>
      <c r="U596" s="184">
        <v>2</v>
      </c>
      <c r="V596" s="184">
        <v>3</v>
      </c>
      <c r="W596" s="184">
        <v>1</v>
      </c>
      <c r="X596" s="184">
        <v>0</v>
      </c>
      <c r="Y596" s="184">
        <v>0</v>
      </c>
      <c r="Z596" s="184">
        <v>0</v>
      </c>
      <c r="AA596" s="184">
        <v>0</v>
      </c>
      <c r="AB596" s="184">
        <v>0</v>
      </c>
      <c r="AC596" s="185">
        <v>35.9</v>
      </c>
      <c r="AD596" s="185">
        <v>44.8</v>
      </c>
      <c r="AE596" s="184">
        <v>0</v>
      </c>
      <c r="AF596" s="185">
        <v>0</v>
      </c>
      <c r="AG596" s="184">
        <v>0</v>
      </c>
      <c r="AH596" s="185">
        <v>0</v>
      </c>
      <c r="AI596" s="184">
        <v>0</v>
      </c>
      <c r="AJ596" s="643">
        <v>0</v>
      </c>
    </row>
    <row r="597" spans="1:36" x14ac:dyDescent="0.2">
      <c r="A597" s="190" t="s">
        <v>96</v>
      </c>
      <c r="B597" s="642">
        <v>17</v>
      </c>
      <c r="C597" s="184">
        <v>0</v>
      </c>
      <c r="D597" s="184">
        <v>17</v>
      </c>
      <c r="E597" s="184">
        <v>0</v>
      </c>
      <c r="F597" s="184">
        <v>0</v>
      </c>
      <c r="G597" s="184">
        <v>0</v>
      </c>
      <c r="H597" s="184">
        <v>0</v>
      </c>
      <c r="I597" s="184">
        <v>0</v>
      </c>
      <c r="J597" s="184">
        <v>0</v>
      </c>
      <c r="K597" s="184">
        <v>0</v>
      </c>
      <c r="L597" s="184">
        <v>0</v>
      </c>
      <c r="M597" s="654" t="s">
        <v>24</v>
      </c>
      <c r="N597" s="669" t="s">
        <v>96</v>
      </c>
      <c r="O597" s="642">
        <v>0</v>
      </c>
      <c r="P597" s="184">
        <v>0</v>
      </c>
      <c r="Q597" s="184">
        <v>0</v>
      </c>
      <c r="R597" s="184">
        <v>0</v>
      </c>
      <c r="S597" s="184">
        <v>4</v>
      </c>
      <c r="T597" s="184">
        <v>4</v>
      </c>
      <c r="U597" s="184">
        <v>7</v>
      </c>
      <c r="V597" s="184">
        <v>1</v>
      </c>
      <c r="W597" s="184">
        <v>1</v>
      </c>
      <c r="X597" s="184">
        <v>0</v>
      </c>
      <c r="Y597" s="184">
        <v>0</v>
      </c>
      <c r="Z597" s="184">
        <v>0</v>
      </c>
      <c r="AA597" s="184">
        <v>0</v>
      </c>
      <c r="AB597" s="184">
        <v>0</v>
      </c>
      <c r="AC597" s="185">
        <v>35.200000000000003</v>
      </c>
      <c r="AD597" s="185">
        <v>40.5</v>
      </c>
      <c r="AE597" s="184">
        <v>0</v>
      </c>
      <c r="AF597" s="185">
        <v>0</v>
      </c>
      <c r="AG597" s="184">
        <v>0</v>
      </c>
      <c r="AH597" s="185">
        <v>0</v>
      </c>
      <c r="AI597" s="184">
        <v>0</v>
      </c>
      <c r="AJ597" s="643">
        <v>0</v>
      </c>
    </row>
    <row r="598" spans="1:36" x14ac:dyDescent="0.2">
      <c r="A598" s="190" t="s">
        <v>58</v>
      </c>
      <c r="B598" s="642">
        <v>25</v>
      </c>
      <c r="C598" s="184">
        <v>0</v>
      </c>
      <c r="D598" s="184">
        <v>23</v>
      </c>
      <c r="E598" s="184">
        <v>0</v>
      </c>
      <c r="F598" s="184">
        <v>2</v>
      </c>
      <c r="G598" s="184">
        <v>0</v>
      </c>
      <c r="H598" s="184">
        <v>0</v>
      </c>
      <c r="I598" s="184">
        <v>0</v>
      </c>
      <c r="J598" s="184">
        <v>0</v>
      </c>
      <c r="K598" s="184">
        <v>0</v>
      </c>
      <c r="L598" s="184">
        <v>0</v>
      </c>
      <c r="M598" s="654" t="s">
        <v>24</v>
      </c>
      <c r="N598" s="669" t="s">
        <v>58</v>
      </c>
      <c r="O598" s="642">
        <v>0</v>
      </c>
      <c r="P598" s="184">
        <v>0</v>
      </c>
      <c r="Q598" s="184">
        <v>0</v>
      </c>
      <c r="R598" s="184">
        <v>1</v>
      </c>
      <c r="S598" s="184">
        <v>1</v>
      </c>
      <c r="T598" s="184">
        <v>10</v>
      </c>
      <c r="U598" s="184">
        <v>4</v>
      </c>
      <c r="V598" s="184">
        <v>5</v>
      </c>
      <c r="W598" s="184">
        <v>4</v>
      </c>
      <c r="X598" s="184">
        <v>0</v>
      </c>
      <c r="Y598" s="184">
        <v>0</v>
      </c>
      <c r="Z598" s="184">
        <v>0</v>
      </c>
      <c r="AA598" s="184">
        <v>0</v>
      </c>
      <c r="AB598" s="184">
        <v>0</v>
      </c>
      <c r="AC598" s="185">
        <v>37.5</v>
      </c>
      <c r="AD598" s="185">
        <v>46.2</v>
      </c>
      <c r="AE598" s="184">
        <v>0</v>
      </c>
      <c r="AF598" s="185">
        <v>0</v>
      </c>
      <c r="AG598" s="184">
        <v>0</v>
      </c>
      <c r="AH598" s="185">
        <v>0</v>
      </c>
      <c r="AI598" s="184">
        <v>0</v>
      </c>
      <c r="AJ598" s="643">
        <v>0</v>
      </c>
    </row>
    <row r="599" spans="1:36" x14ac:dyDescent="0.2">
      <c r="A599" s="190" t="s">
        <v>97</v>
      </c>
      <c r="B599" s="642">
        <v>18</v>
      </c>
      <c r="C599" s="184">
        <v>0</v>
      </c>
      <c r="D599" s="184">
        <v>17</v>
      </c>
      <c r="E599" s="184">
        <v>0</v>
      </c>
      <c r="F599" s="184">
        <v>1</v>
      </c>
      <c r="G599" s="184">
        <v>0</v>
      </c>
      <c r="H599" s="184">
        <v>0</v>
      </c>
      <c r="I599" s="184">
        <v>0</v>
      </c>
      <c r="J599" s="184">
        <v>0</v>
      </c>
      <c r="K599" s="184">
        <v>0</v>
      </c>
      <c r="L599" s="184">
        <v>0</v>
      </c>
      <c r="M599" s="654" t="s">
        <v>24</v>
      </c>
      <c r="N599" s="669" t="s">
        <v>97</v>
      </c>
      <c r="O599" s="642">
        <v>0</v>
      </c>
      <c r="P599" s="184">
        <v>0</v>
      </c>
      <c r="Q599" s="184">
        <v>1</v>
      </c>
      <c r="R599" s="184">
        <v>0</v>
      </c>
      <c r="S599" s="184">
        <v>2</v>
      </c>
      <c r="T599" s="184">
        <v>5</v>
      </c>
      <c r="U599" s="184">
        <v>6</v>
      </c>
      <c r="V599" s="184">
        <v>1</v>
      </c>
      <c r="W599" s="184">
        <v>1</v>
      </c>
      <c r="X599" s="184">
        <v>2</v>
      </c>
      <c r="Y599" s="184">
        <v>0</v>
      </c>
      <c r="Z599" s="184">
        <v>0</v>
      </c>
      <c r="AA599" s="184">
        <v>0</v>
      </c>
      <c r="AB599" s="184">
        <v>0</v>
      </c>
      <c r="AC599" s="185">
        <v>36.1</v>
      </c>
      <c r="AD599" s="185">
        <v>46.2</v>
      </c>
      <c r="AE599" s="184">
        <v>0</v>
      </c>
      <c r="AF599" s="185">
        <v>0</v>
      </c>
      <c r="AG599" s="184">
        <v>0</v>
      </c>
      <c r="AH599" s="185">
        <v>0</v>
      </c>
      <c r="AI599" s="184">
        <v>0</v>
      </c>
      <c r="AJ599" s="643">
        <v>0</v>
      </c>
    </row>
    <row r="600" spans="1:36" x14ac:dyDescent="0.2">
      <c r="A600" s="190" t="s">
        <v>98</v>
      </c>
      <c r="B600" s="642">
        <v>19</v>
      </c>
      <c r="C600" s="184">
        <v>0</v>
      </c>
      <c r="D600" s="184">
        <v>19</v>
      </c>
      <c r="E600" s="184">
        <v>0</v>
      </c>
      <c r="F600" s="184">
        <v>0</v>
      </c>
      <c r="G600" s="184">
        <v>0</v>
      </c>
      <c r="H600" s="184">
        <v>0</v>
      </c>
      <c r="I600" s="184">
        <v>0</v>
      </c>
      <c r="J600" s="184">
        <v>0</v>
      </c>
      <c r="K600" s="184">
        <v>0</v>
      </c>
      <c r="L600" s="184">
        <v>0</v>
      </c>
      <c r="M600" s="654" t="s">
        <v>24</v>
      </c>
      <c r="N600" s="669" t="s">
        <v>98</v>
      </c>
      <c r="O600" s="642">
        <v>0</v>
      </c>
      <c r="P600" s="184">
        <v>0</v>
      </c>
      <c r="Q600" s="184">
        <v>0</v>
      </c>
      <c r="R600" s="184">
        <v>1</v>
      </c>
      <c r="S600" s="184">
        <v>0</v>
      </c>
      <c r="T600" s="184">
        <v>2</v>
      </c>
      <c r="U600" s="184">
        <v>6</v>
      </c>
      <c r="V600" s="184">
        <v>4</v>
      </c>
      <c r="W600" s="184">
        <v>5</v>
      </c>
      <c r="X600" s="184">
        <v>1</v>
      </c>
      <c r="Y600" s="184">
        <v>0</v>
      </c>
      <c r="Z600" s="184">
        <v>0</v>
      </c>
      <c r="AA600" s="184">
        <v>0</v>
      </c>
      <c r="AB600" s="184">
        <v>0</v>
      </c>
      <c r="AC600" s="185">
        <v>40.9</v>
      </c>
      <c r="AD600" s="185">
        <v>48.5</v>
      </c>
      <c r="AE600" s="184">
        <v>0</v>
      </c>
      <c r="AF600" s="185">
        <v>0</v>
      </c>
      <c r="AG600" s="184">
        <v>0</v>
      </c>
      <c r="AH600" s="185">
        <v>0</v>
      </c>
      <c r="AI600" s="184">
        <v>0</v>
      </c>
      <c r="AJ600" s="643">
        <v>0</v>
      </c>
    </row>
    <row r="601" spans="1:36" x14ac:dyDescent="0.2">
      <c r="A601" s="190" t="s">
        <v>99</v>
      </c>
      <c r="B601" s="642">
        <v>17</v>
      </c>
      <c r="C601" s="184">
        <v>1</v>
      </c>
      <c r="D601" s="184">
        <v>15</v>
      </c>
      <c r="E601" s="184">
        <v>0</v>
      </c>
      <c r="F601" s="184">
        <v>1</v>
      </c>
      <c r="G601" s="184">
        <v>0</v>
      </c>
      <c r="H601" s="184">
        <v>0</v>
      </c>
      <c r="I601" s="184">
        <v>0</v>
      </c>
      <c r="J601" s="184">
        <v>0</v>
      </c>
      <c r="K601" s="184">
        <v>0</v>
      </c>
      <c r="L601" s="184">
        <v>0</v>
      </c>
      <c r="M601" s="654" t="s">
        <v>24</v>
      </c>
      <c r="N601" s="669" t="s">
        <v>99</v>
      </c>
      <c r="O601" s="642">
        <v>0</v>
      </c>
      <c r="P601" s="184">
        <v>0</v>
      </c>
      <c r="Q601" s="184">
        <v>0</v>
      </c>
      <c r="R601" s="184">
        <v>0</v>
      </c>
      <c r="S601" s="184">
        <v>3</v>
      </c>
      <c r="T601" s="184">
        <v>2</v>
      </c>
      <c r="U601" s="184">
        <v>2</v>
      </c>
      <c r="V601" s="184">
        <v>5</v>
      </c>
      <c r="W601" s="184">
        <v>2</v>
      </c>
      <c r="X601" s="184">
        <v>3</v>
      </c>
      <c r="Y601" s="184">
        <v>0</v>
      </c>
      <c r="Z601" s="184">
        <v>0</v>
      </c>
      <c r="AA601" s="184">
        <v>0</v>
      </c>
      <c r="AB601" s="184">
        <v>0</v>
      </c>
      <c r="AC601" s="185">
        <v>40.5</v>
      </c>
      <c r="AD601" s="185">
        <v>51.4</v>
      </c>
      <c r="AE601" s="184">
        <v>0</v>
      </c>
      <c r="AF601" s="185">
        <v>0</v>
      </c>
      <c r="AG601" s="184">
        <v>0</v>
      </c>
      <c r="AH601" s="185">
        <v>0</v>
      </c>
      <c r="AI601" s="184">
        <v>0</v>
      </c>
      <c r="AJ601" s="643">
        <v>0</v>
      </c>
    </row>
    <row r="602" spans="1:36" x14ac:dyDescent="0.2">
      <c r="A602" s="190" t="s">
        <v>60</v>
      </c>
      <c r="B602" s="642">
        <v>14</v>
      </c>
      <c r="C602" s="184">
        <v>0</v>
      </c>
      <c r="D602" s="184">
        <v>13</v>
      </c>
      <c r="E602" s="184">
        <v>0</v>
      </c>
      <c r="F602" s="184">
        <v>1</v>
      </c>
      <c r="G602" s="184">
        <v>0</v>
      </c>
      <c r="H602" s="184">
        <v>0</v>
      </c>
      <c r="I602" s="184">
        <v>0</v>
      </c>
      <c r="J602" s="184">
        <v>0</v>
      </c>
      <c r="K602" s="184">
        <v>0</v>
      </c>
      <c r="L602" s="184">
        <v>0</v>
      </c>
      <c r="M602" s="654" t="s">
        <v>24</v>
      </c>
      <c r="N602" s="669" t="s">
        <v>60</v>
      </c>
      <c r="O602" s="642">
        <v>0</v>
      </c>
      <c r="P602" s="184">
        <v>0</v>
      </c>
      <c r="Q602" s="184">
        <v>0</v>
      </c>
      <c r="R602" s="184">
        <v>0</v>
      </c>
      <c r="S602" s="184">
        <v>0</v>
      </c>
      <c r="T602" s="184">
        <v>3</v>
      </c>
      <c r="U602" s="184">
        <v>4</v>
      </c>
      <c r="V602" s="184">
        <v>6</v>
      </c>
      <c r="W602" s="184">
        <v>1</v>
      </c>
      <c r="X602" s="184">
        <v>0</v>
      </c>
      <c r="Y602" s="184">
        <v>0</v>
      </c>
      <c r="Z602" s="184">
        <v>0</v>
      </c>
      <c r="AA602" s="184">
        <v>0</v>
      </c>
      <c r="AB602" s="184">
        <v>0</v>
      </c>
      <c r="AC602" s="185">
        <v>39.5</v>
      </c>
      <c r="AD602" s="185">
        <v>44.3</v>
      </c>
      <c r="AE602" s="184">
        <v>0</v>
      </c>
      <c r="AF602" s="185">
        <v>0</v>
      </c>
      <c r="AG602" s="184">
        <v>0</v>
      </c>
      <c r="AH602" s="185">
        <v>0</v>
      </c>
      <c r="AI602" s="184">
        <v>0</v>
      </c>
      <c r="AJ602" s="643">
        <v>0</v>
      </c>
    </row>
    <row r="603" spans="1:36" x14ac:dyDescent="0.2">
      <c r="A603" s="190" t="s">
        <v>100</v>
      </c>
      <c r="B603" s="642">
        <v>16</v>
      </c>
      <c r="C603" s="184">
        <v>0</v>
      </c>
      <c r="D603" s="184">
        <v>14</v>
      </c>
      <c r="E603" s="184">
        <v>2</v>
      </c>
      <c r="F603" s="184">
        <v>0</v>
      </c>
      <c r="G603" s="184">
        <v>0</v>
      </c>
      <c r="H603" s="184">
        <v>0</v>
      </c>
      <c r="I603" s="184">
        <v>0</v>
      </c>
      <c r="J603" s="184">
        <v>0</v>
      </c>
      <c r="K603" s="184">
        <v>0</v>
      </c>
      <c r="L603" s="184">
        <v>0</v>
      </c>
      <c r="M603" s="654" t="s">
        <v>24</v>
      </c>
      <c r="N603" s="669" t="s">
        <v>100</v>
      </c>
      <c r="O603" s="642">
        <v>0</v>
      </c>
      <c r="P603" s="184">
        <v>0</v>
      </c>
      <c r="Q603" s="184">
        <v>0</v>
      </c>
      <c r="R603" s="184">
        <v>0</v>
      </c>
      <c r="S603" s="184">
        <v>0</v>
      </c>
      <c r="T603" s="184">
        <v>7</v>
      </c>
      <c r="U603" s="184">
        <v>6</v>
      </c>
      <c r="V603" s="184">
        <v>2</v>
      </c>
      <c r="W603" s="184">
        <v>1</v>
      </c>
      <c r="X603" s="184">
        <v>0</v>
      </c>
      <c r="Y603" s="184">
        <v>0</v>
      </c>
      <c r="Z603" s="184">
        <v>0</v>
      </c>
      <c r="AA603" s="184">
        <v>0</v>
      </c>
      <c r="AB603" s="184">
        <v>0</v>
      </c>
      <c r="AC603" s="185">
        <v>36.5</v>
      </c>
      <c r="AD603" s="185">
        <v>41</v>
      </c>
      <c r="AE603" s="184">
        <v>0</v>
      </c>
      <c r="AF603" s="185">
        <v>0</v>
      </c>
      <c r="AG603" s="184">
        <v>0</v>
      </c>
      <c r="AH603" s="185">
        <v>0</v>
      </c>
      <c r="AI603" s="184">
        <v>0</v>
      </c>
      <c r="AJ603" s="643">
        <v>0</v>
      </c>
    </row>
    <row r="604" spans="1:36" x14ac:dyDescent="0.2">
      <c r="A604" s="190" t="s">
        <v>101</v>
      </c>
      <c r="B604" s="642">
        <v>8</v>
      </c>
      <c r="C604" s="184">
        <v>0</v>
      </c>
      <c r="D604" s="184">
        <v>8</v>
      </c>
      <c r="E604" s="184">
        <v>0</v>
      </c>
      <c r="F604" s="184">
        <v>0</v>
      </c>
      <c r="G604" s="184">
        <v>0</v>
      </c>
      <c r="H604" s="184">
        <v>0</v>
      </c>
      <c r="I604" s="184">
        <v>0</v>
      </c>
      <c r="J604" s="184">
        <v>0</v>
      </c>
      <c r="K604" s="184">
        <v>0</v>
      </c>
      <c r="L604" s="184">
        <v>0</v>
      </c>
      <c r="M604" s="654" t="s">
        <v>24</v>
      </c>
      <c r="N604" s="669" t="s">
        <v>101</v>
      </c>
      <c r="O604" s="642">
        <v>0</v>
      </c>
      <c r="P604" s="184">
        <v>0</v>
      </c>
      <c r="Q604" s="184">
        <v>0</v>
      </c>
      <c r="R604" s="184">
        <v>0</v>
      </c>
      <c r="S604" s="184">
        <v>0</v>
      </c>
      <c r="T604" s="184">
        <v>4</v>
      </c>
      <c r="U604" s="184">
        <v>2</v>
      </c>
      <c r="V604" s="184">
        <v>2</v>
      </c>
      <c r="W604" s="184">
        <v>0</v>
      </c>
      <c r="X604" s="184">
        <v>0</v>
      </c>
      <c r="Y604" s="184">
        <v>0</v>
      </c>
      <c r="Z604" s="184">
        <v>0</v>
      </c>
      <c r="AA604" s="184">
        <v>0</v>
      </c>
      <c r="AB604" s="184">
        <v>0</v>
      </c>
      <c r="AC604" s="185">
        <v>36.4</v>
      </c>
      <c r="AD604" s="185" t="s">
        <v>24</v>
      </c>
      <c r="AE604" s="184">
        <v>0</v>
      </c>
      <c r="AF604" s="185">
        <v>0</v>
      </c>
      <c r="AG604" s="184">
        <v>0</v>
      </c>
      <c r="AH604" s="185">
        <v>0</v>
      </c>
      <c r="AI604" s="184">
        <v>0</v>
      </c>
      <c r="AJ604" s="643">
        <v>0</v>
      </c>
    </row>
    <row r="605" spans="1:36" x14ac:dyDescent="0.2">
      <c r="A605" s="190" t="s">
        <v>102</v>
      </c>
      <c r="B605" s="642">
        <v>17</v>
      </c>
      <c r="C605" s="184">
        <v>0</v>
      </c>
      <c r="D605" s="184">
        <v>16</v>
      </c>
      <c r="E605" s="184">
        <v>0</v>
      </c>
      <c r="F605" s="184">
        <v>1</v>
      </c>
      <c r="G605" s="184">
        <v>0</v>
      </c>
      <c r="H605" s="184">
        <v>0</v>
      </c>
      <c r="I605" s="184">
        <v>0</v>
      </c>
      <c r="J605" s="184">
        <v>0</v>
      </c>
      <c r="K605" s="184">
        <v>0</v>
      </c>
      <c r="L605" s="184">
        <v>0</v>
      </c>
      <c r="M605" s="654" t="s">
        <v>24</v>
      </c>
      <c r="N605" s="669" t="s">
        <v>102</v>
      </c>
      <c r="O605" s="642">
        <v>0</v>
      </c>
      <c r="P605" s="184">
        <v>0</v>
      </c>
      <c r="Q605" s="184">
        <v>0</v>
      </c>
      <c r="R605" s="184">
        <v>0</v>
      </c>
      <c r="S605" s="184">
        <v>3</v>
      </c>
      <c r="T605" s="184">
        <v>4</v>
      </c>
      <c r="U605" s="184">
        <v>4</v>
      </c>
      <c r="V605" s="184">
        <v>5</v>
      </c>
      <c r="W605" s="184">
        <v>1</v>
      </c>
      <c r="X605" s="184">
        <v>0</v>
      </c>
      <c r="Y605" s="184">
        <v>0</v>
      </c>
      <c r="Z605" s="184">
        <v>0</v>
      </c>
      <c r="AA605" s="184">
        <v>0</v>
      </c>
      <c r="AB605" s="184">
        <v>0</v>
      </c>
      <c r="AC605" s="185">
        <v>36.299999999999997</v>
      </c>
      <c r="AD605" s="185">
        <v>44.1</v>
      </c>
      <c r="AE605" s="184">
        <v>0</v>
      </c>
      <c r="AF605" s="185">
        <v>0</v>
      </c>
      <c r="AG605" s="184">
        <v>0</v>
      </c>
      <c r="AH605" s="185">
        <v>0</v>
      </c>
      <c r="AI605" s="184">
        <v>0</v>
      </c>
      <c r="AJ605" s="643">
        <v>0</v>
      </c>
    </row>
    <row r="606" spans="1:36" x14ac:dyDescent="0.2">
      <c r="A606" s="190" t="s">
        <v>62</v>
      </c>
      <c r="B606" s="642">
        <v>10</v>
      </c>
      <c r="C606" s="184">
        <v>0</v>
      </c>
      <c r="D606" s="184">
        <v>10</v>
      </c>
      <c r="E606" s="184">
        <v>0</v>
      </c>
      <c r="F606" s="184">
        <v>0</v>
      </c>
      <c r="G606" s="184">
        <v>0</v>
      </c>
      <c r="H606" s="184">
        <v>0</v>
      </c>
      <c r="I606" s="184">
        <v>0</v>
      </c>
      <c r="J606" s="184">
        <v>0</v>
      </c>
      <c r="K606" s="184">
        <v>0</v>
      </c>
      <c r="L606" s="184">
        <v>0</v>
      </c>
      <c r="M606" s="654" t="s">
        <v>24</v>
      </c>
      <c r="N606" s="669" t="s">
        <v>62</v>
      </c>
      <c r="O606" s="642">
        <v>0</v>
      </c>
      <c r="P606" s="184">
        <v>0</v>
      </c>
      <c r="Q606" s="184">
        <v>0</v>
      </c>
      <c r="R606" s="184">
        <v>0</v>
      </c>
      <c r="S606" s="184">
        <v>0</v>
      </c>
      <c r="T606" s="184">
        <v>2</v>
      </c>
      <c r="U606" s="184">
        <v>4</v>
      </c>
      <c r="V606" s="184">
        <v>3</v>
      </c>
      <c r="W606" s="184">
        <v>1</v>
      </c>
      <c r="X606" s="184">
        <v>0</v>
      </c>
      <c r="Y606" s="184">
        <v>0</v>
      </c>
      <c r="Z606" s="184">
        <v>0</v>
      </c>
      <c r="AA606" s="184">
        <v>0</v>
      </c>
      <c r="AB606" s="184">
        <v>0</v>
      </c>
      <c r="AC606" s="185">
        <v>39.200000000000003</v>
      </c>
      <c r="AD606" s="185" t="s">
        <v>24</v>
      </c>
      <c r="AE606" s="184">
        <v>0</v>
      </c>
      <c r="AF606" s="185">
        <v>0</v>
      </c>
      <c r="AG606" s="184">
        <v>0</v>
      </c>
      <c r="AH606" s="185">
        <v>0</v>
      </c>
      <c r="AI606" s="184">
        <v>0</v>
      </c>
      <c r="AJ606" s="643">
        <v>0</v>
      </c>
    </row>
    <row r="607" spans="1:36" x14ac:dyDescent="0.2">
      <c r="A607" s="190" t="s">
        <v>103</v>
      </c>
      <c r="B607" s="642">
        <v>15</v>
      </c>
      <c r="C607" s="184">
        <v>0</v>
      </c>
      <c r="D607" s="184">
        <v>15</v>
      </c>
      <c r="E607" s="184">
        <v>0</v>
      </c>
      <c r="F607" s="184">
        <v>0</v>
      </c>
      <c r="G607" s="184">
        <v>0</v>
      </c>
      <c r="H607" s="184">
        <v>0</v>
      </c>
      <c r="I607" s="184">
        <v>0</v>
      </c>
      <c r="J607" s="184">
        <v>0</v>
      </c>
      <c r="K607" s="184">
        <v>0</v>
      </c>
      <c r="L607" s="184">
        <v>0</v>
      </c>
      <c r="M607" s="654" t="s">
        <v>24</v>
      </c>
      <c r="N607" s="669" t="s">
        <v>103</v>
      </c>
      <c r="O607" s="642">
        <v>0</v>
      </c>
      <c r="P607" s="184">
        <v>0</v>
      </c>
      <c r="Q607" s="184">
        <v>0</v>
      </c>
      <c r="R607" s="184">
        <v>0</v>
      </c>
      <c r="S607" s="184">
        <v>0</v>
      </c>
      <c r="T607" s="184">
        <v>4</v>
      </c>
      <c r="U607" s="184">
        <v>2</v>
      </c>
      <c r="V607" s="184">
        <v>6</v>
      </c>
      <c r="W607" s="184">
        <v>3</v>
      </c>
      <c r="X607" s="184">
        <v>0</v>
      </c>
      <c r="Y607" s="184">
        <v>0</v>
      </c>
      <c r="Z607" s="184">
        <v>0</v>
      </c>
      <c r="AA607" s="184">
        <v>0</v>
      </c>
      <c r="AB607" s="184">
        <v>0</v>
      </c>
      <c r="AC607" s="185">
        <v>40.700000000000003</v>
      </c>
      <c r="AD607" s="185">
        <v>47.1</v>
      </c>
      <c r="AE607" s="184">
        <v>0</v>
      </c>
      <c r="AF607" s="185">
        <v>0</v>
      </c>
      <c r="AG607" s="184">
        <v>0</v>
      </c>
      <c r="AH607" s="185">
        <v>0</v>
      </c>
      <c r="AI607" s="184">
        <v>0</v>
      </c>
      <c r="AJ607" s="643">
        <v>0</v>
      </c>
    </row>
    <row r="608" spans="1:36" x14ac:dyDescent="0.2">
      <c r="A608" s="190" t="s">
        <v>104</v>
      </c>
      <c r="B608" s="642">
        <v>23</v>
      </c>
      <c r="C608" s="184">
        <v>1</v>
      </c>
      <c r="D608" s="184">
        <v>22</v>
      </c>
      <c r="E608" s="184">
        <v>0</v>
      </c>
      <c r="F608" s="184">
        <v>0</v>
      </c>
      <c r="G608" s="184">
        <v>0</v>
      </c>
      <c r="H608" s="184">
        <v>0</v>
      </c>
      <c r="I608" s="184">
        <v>0</v>
      </c>
      <c r="J608" s="184">
        <v>0</v>
      </c>
      <c r="K608" s="184">
        <v>0</v>
      </c>
      <c r="L608" s="184">
        <v>0</v>
      </c>
      <c r="M608" s="654" t="s">
        <v>24</v>
      </c>
      <c r="N608" s="669" t="s">
        <v>104</v>
      </c>
      <c r="O608" s="642">
        <v>0</v>
      </c>
      <c r="P608" s="184">
        <v>0</v>
      </c>
      <c r="Q608" s="184">
        <v>0</v>
      </c>
      <c r="R608" s="184">
        <v>0</v>
      </c>
      <c r="S608" s="184">
        <v>2</v>
      </c>
      <c r="T608" s="184">
        <v>6</v>
      </c>
      <c r="U608" s="184">
        <v>6</v>
      </c>
      <c r="V608" s="184">
        <v>6</v>
      </c>
      <c r="W608" s="184">
        <v>2</v>
      </c>
      <c r="X608" s="184">
        <v>1</v>
      </c>
      <c r="Y608" s="184">
        <v>0</v>
      </c>
      <c r="Z608" s="184">
        <v>0</v>
      </c>
      <c r="AA608" s="184">
        <v>0</v>
      </c>
      <c r="AB608" s="184">
        <v>0</v>
      </c>
      <c r="AC608" s="185">
        <v>38.5</v>
      </c>
      <c r="AD608" s="185">
        <v>44.4</v>
      </c>
      <c r="AE608" s="184">
        <v>0</v>
      </c>
      <c r="AF608" s="185">
        <v>0</v>
      </c>
      <c r="AG608" s="184">
        <v>0</v>
      </c>
      <c r="AH608" s="185">
        <v>0</v>
      </c>
      <c r="AI608" s="184">
        <v>0</v>
      </c>
      <c r="AJ608" s="643">
        <v>0</v>
      </c>
    </row>
    <row r="609" spans="1:36" x14ac:dyDescent="0.2">
      <c r="A609" s="190" t="s">
        <v>105</v>
      </c>
      <c r="B609" s="642">
        <v>15</v>
      </c>
      <c r="C609" s="184">
        <v>1</v>
      </c>
      <c r="D609" s="184">
        <v>13</v>
      </c>
      <c r="E609" s="184">
        <v>0</v>
      </c>
      <c r="F609" s="184">
        <v>1</v>
      </c>
      <c r="G609" s="184">
        <v>0</v>
      </c>
      <c r="H609" s="184">
        <v>0</v>
      </c>
      <c r="I609" s="184">
        <v>0</v>
      </c>
      <c r="J609" s="184">
        <v>0</v>
      </c>
      <c r="K609" s="184">
        <v>0</v>
      </c>
      <c r="L609" s="184">
        <v>0</v>
      </c>
      <c r="M609" s="654" t="s">
        <v>24</v>
      </c>
      <c r="N609" s="669" t="s">
        <v>105</v>
      </c>
      <c r="O609" s="642">
        <v>0</v>
      </c>
      <c r="P609" s="184">
        <v>0</v>
      </c>
      <c r="Q609" s="184">
        <v>0</v>
      </c>
      <c r="R609" s="184">
        <v>1</v>
      </c>
      <c r="S609" s="184">
        <v>0</v>
      </c>
      <c r="T609" s="184">
        <v>3</v>
      </c>
      <c r="U609" s="184">
        <v>4</v>
      </c>
      <c r="V609" s="184">
        <v>4</v>
      </c>
      <c r="W609" s="184">
        <v>1</v>
      </c>
      <c r="X609" s="184">
        <v>2</v>
      </c>
      <c r="Y609" s="184">
        <v>0</v>
      </c>
      <c r="Z609" s="184">
        <v>0</v>
      </c>
      <c r="AA609" s="184">
        <v>0</v>
      </c>
      <c r="AB609" s="184">
        <v>0</v>
      </c>
      <c r="AC609" s="185">
        <v>39.700000000000003</v>
      </c>
      <c r="AD609" s="185">
        <v>49.7</v>
      </c>
      <c r="AE609" s="184">
        <v>0</v>
      </c>
      <c r="AF609" s="185">
        <v>0</v>
      </c>
      <c r="AG609" s="184">
        <v>0</v>
      </c>
      <c r="AH609" s="185">
        <v>0</v>
      </c>
      <c r="AI609" s="184">
        <v>0</v>
      </c>
      <c r="AJ609" s="643">
        <v>0</v>
      </c>
    </row>
    <row r="610" spans="1:36" x14ac:dyDescent="0.2">
      <c r="A610" s="190" t="s">
        <v>64</v>
      </c>
      <c r="B610" s="642">
        <v>10</v>
      </c>
      <c r="C610" s="184">
        <v>0</v>
      </c>
      <c r="D610" s="184">
        <v>9</v>
      </c>
      <c r="E610" s="184">
        <v>0</v>
      </c>
      <c r="F610" s="184">
        <v>1</v>
      </c>
      <c r="G610" s="184">
        <v>0</v>
      </c>
      <c r="H610" s="184">
        <v>0</v>
      </c>
      <c r="I610" s="184">
        <v>0</v>
      </c>
      <c r="J610" s="184">
        <v>0</v>
      </c>
      <c r="K610" s="184">
        <v>0</v>
      </c>
      <c r="L610" s="184">
        <v>0</v>
      </c>
      <c r="M610" s="654" t="s">
        <v>24</v>
      </c>
      <c r="N610" s="669" t="s">
        <v>64</v>
      </c>
      <c r="O610" s="642">
        <v>0</v>
      </c>
      <c r="P610" s="184">
        <v>0</v>
      </c>
      <c r="Q610" s="184">
        <v>0</v>
      </c>
      <c r="R610" s="184">
        <v>0</v>
      </c>
      <c r="S610" s="184">
        <v>1</v>
      </c>
      <c r="T610" s="184">
        <v>1</v>
      </c>
      <c r="U610" s="184">
        <v>1</v>
      </c>
      <c r="V610" s="184">
        <v>0</v>
      </c>
      <c r="W610" s="184">
        <v>2</v>
      </c>
      <c r="X610" s="184">
        <v>5</v>
      </c>
      <c r="Y610" s="184">
        <v>0</v>
      </c>
      <c r="Z610" s="184">
        <v>0</v>
      </c>
      <c r="AA610" s="184">
        <v>0</v>
      </c>
      <c r="AB610" s="184">
        <v>0</v>
      </c>
      <c r="AC610" s="185">
        <v>45.7</v>
      </c>
      <c r="AD610" s="185" t="s">
        <v>24</v>
      </c>
      <c r="AE610" s="184">
        <v>0</v>
      </c>
      <c r="AF610" s="185">
        <v>0</v>
      </c>
      <c r="AG610" s="184">
        <v>0</v>
      </c>
      <c r="AH610" s="185">
        <v>0</v>
      </c>
      <c r="AI610" s="184">
        <v>0</v>
      </c>
      <c r="AJ610" s="643">
        <v>0</v>
      </c>
    </row>
    <row r="611" spans="1:36" x14ac:dyDescent="0.2">
      <c r="A611" s="190" t="s">
        <v>106</v>
      </c>
      <c r="B611" s="642">
        <v>13</v>
      </c>
      <c r="C611" s="184">
        <v>0</v>
      </c>
      <c r="D611" s="184">
        <v>13</v>
      </c>
      <c r="E611" s="184">
        <v>0</v>
      </c>
      <c r="F611" s="184">
        <v>0</v>
      </c>
      <c r="G611" s="184">
        <v>0</v>
      </c>
      <c r="H611" s="184">
        <v>0</v>
      </c>
      <c r="I611" s="184">
        <v>0</v>
      </c>
      <c r="J611" s="184">
        <v>0</v>
      </c>
      <c r="K611" s="184">
        <v>0</v>
      </c>
      <c r="L611" s="184">
        <v>0</v>
      </c>
      <c r="M611" s="654" t="s">
        <v>24</v>
      </c>
      <c r="N611" s="669" t="s">
        <v>106</v>
      </c>
      <c r="O611" s="642">
        <v>0</v>
      </c>
      <c r="P611" s="184">
        <v>0</v>
      </c>
      <c r="Q611" s="184">
        <v>0</v>
      </c>
      <c r="R611" s="184">
        <v>0</v>
      </c>
      <c r="S611" s="184">
        <v>1</v>
      </c>
      <c r="T611" s="184">
        <v>2</v>
      </c>
      <c r="U611" s="184">
        <v>2</v>
      </c>
      <c r="V611" s="184">
        <v>2</v>
      </c>
      <c r="W611" s="184">
        <v>2</v>
      </c>
      <c r="X611" s="184">
        <v>3</v>
      </c>
      <c r="Y611" s="184">
        <v>1</v>
      </c>
      <c r="Z611" s="184">
        <v>0</v>
      </c>
      <c r="AA611" s="184">
        <v>0</v>
      </c>
      <c r="AB611" s="184">
        <v>0</v>
      </c>
      <c r="AC611" s="185">
        <v>44</v>
      </c>
      <c r="AD611" s="185">
        <v>53.4</v>
      </c>
      <c r="AE611" s="184">
        <v>1</v>
      </c>
      <c r="AF611" s="185">
        <v>7.6923076923076925</v>
      </c>
      <c r="AG611" s="184">
        <v>0</v>
      </c>
      <c r="AH611" s="185">
        <v>0</v>
      </c>
      <c r="AI611" s="184">
        <v>0</v>
      </c>
      <c r="AJ611" s="643">
        <v>0</v>
      </c>
    </row>
    <row r="612" spans="1:36" x14ac:dyDescent="0.2">
      <c r="A612" s="190" t="s">
        <v>107</v>
      </c>
      <c r="B612" s="642">
        <v>11</v>
      </c>
      <c r="C612" s="184">
        <v>0</v>
      </c>
      <c r="D612" s="184">
        <v>11</v>
      </c>
      <c r="E612" s="184">
        <v>0</v>
      </c>
      <c r="F612" s="184">
        <v>0</v>
      </c>
      <c r="G612" s="184">
        <v>0</v>
      </c>
      <c r="H612" s="184">
        <v>0</v>
      </c>
      <c r="I612" s="184">
        <v>0</v>
      </c>
      <c r="J612" s="184">
        <v>0</v>
      </c>
      <c r="K612" s="184">
        <v>0</v>
      </c>
      <c r="L612" s="184">
        <v>0</v>
      </c>
      <c r="M612" s="654" t="s">
        <v>24</v>
      </c>
      <c r="N612" s="669" t="s">
        <v>107</v>
      </c>
      <c r="O612" s="642">
        <v>0</v>
      </c>
      <c r="P612" s="184">
        <v>0</v>
      </c>
      <c r="Q612" s="184">
        <v>0</v>
      </c>
      <c r="R612" s="184">
        <v>0</v>
      </c>
      <c r="S612" s="184">
        <v>0</v>
      </c>
      <c r="T612" s="184">
        <v>2</v>
      </c>
      <c r="U612" s="184">
        <v>1</v>
      </c>
      <c r="V612" s="184">
        <v>3</v>
      </c>
      <c r="W612" s="184">
        <v>4</v>
      </c>
      <c r="X612" s="184">
        <v>1</v>
      </c>
      <c r="Y612" s="184">
        <v>0</v>
      </c>
      <c r="Z612" s="184">
        <v>0</v>
      </c>
      <c r="AA612" s="184">
        <v>0</v>
      </c>
      <c r="AB612" s="184">
        <v>0</v>
      </c>
      <c r="AC612" s="185">
        <v>42.5</v>
      </c>
      <c r="AD612" s="185">
        <v>49.8</v>
      </c>
      <c r="AE612" s="184">
        <v>0</v>
      </c>
      <c r="AF612" s="185">
        <v>0</v>
      </c>
      <c r="AG612" s="184">
        <v>0</v>
      </c>
      <c r="AH612" s="185">
        <v>0</v>
      </c>
      <c r="AI612" s="184">
        <v>0</v>
      </c>
      <c r="AJ612" s="643">
        <v>0</v>
      </c>
    </row>
    <row r="613" spans="1:36" x14ac:dyDescent="0.2">
      <c r="A613" s="190" t="s">
        <v>108</v>
      </c>
      <c r="B613" s="642">
        <v>8</v>
      </c>
      <c r="C613" s="184">
        <v>0</v>
      </c>
      <c r="D613" s="184">
        <v>8</v>
      </c>
      <c r="E613" s="184">
        <v>0</v>
      </c>
      <c r="F613" s="184">
        <v>0</v>
      </c>
      <c r="G613" s="184">
        <v>0</v>
      </c>
      <c r="H613" s="184">
        <v>0</v>
      </c>
      <c r="I613" s="184">
        <v>0</v>
      </c>
      <c r="J613" s="184">
        <v>0</v>
      </c>
      <c r="K613" s="184">
        <v>0</v>
      </c>
      <c r="L613" s="184">
        <v>0</v>
      </c>
      <c r="M613" s="654" t="s">
        <v>24</v>
      </c>
      <c r="N613" s="669" t="s">
        <v>108</v>
      </c>
      <c r="O613" s="642">
        <v>0</v>
      </c>
      <c r="P613" s="184">
        <v>0</v>
      </c>
      <c r="Q613" s="184">
        <v>0</v>
      </c>
      <c r="R613" s="184">
        <v>0</v>
      </c>
      <c r="S613" s="184">
        <v>0</v>
      </c>
      <c r="T613" s="184">
        <v>0</v>
      </c>
      <c r="U613" s="184">
        <v>1</v>
      </c>
      <c r="V613" s="184">
        <v>4</v>
      </c>
      <c r="W613" s="184">
        <v>1</v>
      </c>
      <c r="X613" s="184">
        <v>2</v>
      </c>
      <c r="Y613" s="184">
        <v>0</v>
      </c>
      <c r="Z613" s="184">
        <v>0</v>
      </c>
      <c r="AA613" s="184">
        <v>0</v>
      </c>
      <c r="AB613" s="184">
        <v>0</v>
      </c>
      <c r="AC613" s="185">
        <v>45.2</v>
      </c>
      <c r="AD613" s="185" t="s">
        <v>24</v>
      </c>
      <c r="AE613" s="184">
        <v>0</v>
      </c>
      <c r="AF613" s="185">
        <v>0</v>
      </c>
      <c r="AG613" s="184">
        <v>0</v>
      </c>
      <c r="AH613" s="185">
        <v>0</v>
      </c>
      <c r="AI613" s="184">
        <v>0</v>
      </c>
      <c r="AJ613" s="643">
        <v>0</v>
      </c>
    </row>
    <row r="614" spans="1:36" x14ac:dyDescent="0.2">
      <c r="A614" s="190" t="s">
        <v>65</v>
      </c>
      <c r="B614" s="646">
        <v>7</v>
      </c>
      <c r="C614" s="186">
        <v>0</v>
      </c>
      <c r="D614" s="186">
        <v>7</v>
      </c>
      <c r="E614" s="186">
        <v>0</v>
      </c>
      <c r="F614" s="186">
        <v>0</v>
      </c>
      <c r="G614" s="186">
        <v>0</v>
      </c>
      <c r="H614" s="186">
        <v>0</v>
      </c>
      <c r="I614" s="186">
        <v>0</v>
      </c>
      <c r="J614" s="186">
        <v>0</v>
      </c>
      <c r="K614" s="186">
        <v>0</v>
      </c>
      <c r="L614" s="186">
        <v>0</v>
      </c>
      <c r="M614" s="656" t="s">
        <v>24</v>
      </c>
      <c r="N614" s="669" t="s">
        <v>65</v>
      </c>
      <c r="O614" s="646">
        <v>0</v>
      </c>
      <c r="P614" s="186">
        <v>0</v>
      </c>
      <c r="Q614" s="186">
        <v>0</v>
      </c>
      <c r="R614" s="186">
        <v>0</v>
      </c>
      <c r="S614" s="186">
        <v>0</v>
      </c>
      <c r="T614" s="186">
        <v>1</v>
      </c>
      <c r="U614" s="186">
        <v>1</v>
      </c>
      <c r="V614" s="186">
        <v>4</v>
      </c>
      <c r="W614" s="186">
        <v>1</v>
      </c>
      <c r="X614" s="186">
        <v>0</v>
      </c>
      <c r="Y614" s="186">
        <v>0</v>
      </c>
      <c r="Z614" s="186">
        <v>0</v>
      </c>
      <c r="AA614" s="186">
        <v>0</v>
      </c>
      <c r="AB614" s="186">
        <v>0</v>
      </c>
      <c r="AC614" s="187">
        <v>40.9</v>
      </c>
      <c r="AD614" s="187" t="s">
        <v>24</v>
      </c>
      <c r="AE614" s="186">
        <v>0</v>
      </c>
      <c r="AF614" s="187">
        <v>0</v>
      </c>
      <c r="AG614" s="186">
        <v>0</v>
      </c>
      <c r="AH614" s="187">
        <v>0</v>
      </c>
      <c r="AI614" s="186">
        <v>0</v>
      </c>
      <c r="AJ614" s="647">
        <v>0</v>
      </c>
    </row>
    <row r="615" spans="1:36" x14ac:dyDescent="0.2">
      <c r="A615" s="190" t="s">
        <v>109</v>
      </c>
      <c r="B615" s="642">
        <v>5</v>
      </c>
      <c r="C615" s="184">
        <v>0</v>
      </c>
      <c r="D615" s="184">
        <v>4</v>
      </c>
      <c r="E615" s="184">
        <v>0</v>
      </c>
      <c r="F615" s="184">
        <v>1</v>
      </c>
      <c r="G615" s="184">
        <v>0</v>
      </c>
      <c r="H615" s="184">
        <v>0</v>
      </c>
      <c r="I615" s="184">
        <v>0</v>
      </c>
      <c r="J615" s="184">
        <v>0</v>
      </c>
      <c r="K615" s="184">
        <v>0</v>
      </c>
      <c r="L615" s="184">
        <v>0</v>
      </c>
      <c r="M615" s="654" t="s">
        <v>24</v>
      </c>
      <c r="N615" s="669" t="s">
        <v>109</v>
      </c>
      <c r="O615" s="642">
        <v>0</v>
      </c>
      <c r="P615" s="184">
        <v>0</v>
      </c>
      <c r="Q615" s="184">
        <v>0</v>
      </c>
      <c r="R615" s="184">
        <v>0</v>
      </c>
      <c r="S615" s="184">
        <v>0</v>
      </c>
      <c r="T615" s="184">
        <v>1</v>
      </c>
      <c r="U615" s="184">
        <v>1</v>
      </c>
      <c r="V615" s="184">
        <v>3</v>
      </c>
      <c r="W615" s="184">
        <v>0</v>
      </c>
      <c r="X615" s="184">
        <v>0</v>
      </c>
      <c r="Y615" s="184">
        <v>0</v>
      </c>
      <c r="Z615" s="184">
        <v>0</v>
      </c>
      <c r="AA615" s="184">
        <v>0</v>
      </c>
      <c r="AB615" s="184">
        <v>0</v>
      </c>
      <c r="AC615" s="185">
        <v>39.299999999999997</v>
      </c>
      <c r="AD615" s="185" t="s">
        <v>24</v>
      </c>
      <c r="AE615" s="184">
        <v>0</v>
      </c>
      <c r="AF615" s="185">
        <v>0</v>
      </c>
      <c r="AG615" s="184">
        <v>0</v>
      </c>
      <c r="AH615" s="185">
        <v>0</v>
      </c>
      <c r="AI615" s="184">
        <v>0</v>
      </c>
      <c r="AJ615" s="643">
        <v>0</v>
      </c>
    </row>
    <row r="616" spans="1:36" x14ac:dyDescent="0.2">
      <c r="A616" s="190" t="s">
        <v>110</v>
      </c>
      <c r="B616" s="642">
        <v>9</v>
      </c>
      <c r="C616" s="184">
        <v>0</v>
      </c>
      <c r="D616" s="184">
        <v>8</v>
      </c>
      <c r="E616" s="184">
        <v>0</v>
      </c>
      <c r="F616" s="184">
        <v>0</v>
      </c>
      <c r="G616" s="184">
        <v>0</v>
      </c>
      <c r="H616" s="184">
        <v>0</v>
      </c>
      <c r="I616" s="184">
        <v>0</v>
      </c>
      <c r="J616" s="184">
        <v>0</v>
      </c>
      <c r="K616" s="184">
        <v>1</v>
      </c>
      <c r="L616" s="184">
        <v>0</v>
      </c>
      <c r="M616" s="654" t="s">
        <v>24</v>
      </c>
      <c r="N616" s="669" t="s">
        <v>110</v>
      </c>
      <c r="O616" s="642">
        <v>0</v>
      </c>
      <c r="P616" s="184">
        <v>0</v>
      </c>
      <c r="Q616" s="184">
        <v>0</v>
      </c>
      <c r="R616" s="184">
        <v>0</v>
      </c>
      <c r="S616" s="184">
        <v>0</v>
      </c>
      <c r="T616" s="184">
        <v>1</v>
      </c>
      <c r="U616" s="184">
        <v>0</v>
      </c>
      <c r="V616" s="184">
        <v>5</v>
      </c>
      <c r="W616" s="184">
        <v>1</v>
      </c>
      <c r="X616" s="184">
        <v>2</v>
      </c>
      <c r="Y616" s="184">
        <v>0</v>
      </c>
      <c r="Z616" s="184">
        <v>0</v>
      </c>
      <c r="AA616" s="184">
        <v>0</v>
      </c>
      <c r="AB616" s="184">
        <v>0</v>
      </c>
      <c r="AC616" s="185">
        <v>45.2</v>
      </c>
      <c r="AD616" s="185" t="s">
        <v>24</v>
      </c>
      <c r="AE616" s="184">
        <v>0</v>
      </c>
      <c r="AF616" s="185">
        <v>0</v>
      </c>
      <c r="AG616" s="184">
        <v>0</v>
      </c>
      <c r="AH616" s="185">
        <v>0</v>
      </c>
      <c r="AI616" s="184">
        <v>0</v>
      </c>
      <c r="AJ616" s="643">
        <v>0</v>
      </c>
    </row>
    <row r="617" spans="1:36" x14ac:dyDescent="0.2">
      <c r="A617" s="190" t="s">
        <v>111</v>
      </c>
      <c r="B617" s="642">
        <v>10</v>
      </c>
      <c r="C617" s="184">
        <v>0</v>
      </c>
      <c r="D617" s="184">
        <v>10</v>
      </c>
      <c r="E617" s="184">
        <v>0</v>
      </c>
      <c r="F617" s="184">
        <v>0</v>
      </c>
      <c r="G617" s="184">
        <v>0</v>
      </c>
      <c r="H617" s="184">
        <v>0</v>
      </c>
      <c r="I617" s="184">
        <v>0</v>
      </c>
      <c r="J617" s="184">
        <v>0</v>
      </c>
      <c r="K617" s="184">
        <v>0</v>
      </c>
      <c r="L617" s="184">
        <v>0</v>
      </c>
      <c r="M617" s="654" t="s">
        <v>24</v>
      </c>
      <c r="N617" s="669" t="s">
        <v>111</v>
      </c>
      <c r="O617" s="642">
        <v>0</v>
      </c>
      <c r="P617" s="184">
        <v>0</v>
      </c>
      <c r="Q617" s="184">
        <v>0</v>
      </c>
      <c r="R617" s="184">
        <v>0</v>
      </c>
      <c r="S617" s="184">
        <v>0</v>
      </c>
      <c r="T617" s="184">
        <v>1</v>
      </c>
      <c r="U617" s="184">
        <v>3</v>
      </c>
      <c r="V617" s="184">
        <v>5</v>
      </c>
      <c r="W617" s="184">
        <v>0</v>
      </c>
      <c r="X617" s="184">
        <v>0</v>
      </c>
      <c r="Y617" s="184">
        <v>1</v>
      </c>
      <c r="Z617" s="184">
        <v>0</v>
      </c>
      <c r="AA617" s="184">
        <v>0</v>
      </c>
      <c r="AB617" s="184">
        <v>0</v>
      </c>
      <c r="AC617" s="185">
        <v>42.1</v>
      </c>
      <c r="AD617" s="185" t="s">
        <v>24</v>
      </c>
      <c r="AE617" s="184">
        <v>1</v>
      </c>
      <c r="AF617" s="185">
        <v>10</v>
      </c>
      <c r="AG617" s="184">
        <v>0</v>
      </c>
      <c r="AH617" s="185">
        <v>0</v>
      </c>
      <c r="AI617" s="184">
        <v>0</v>
      </c>
      <c r="AJ617" s="643">
        <v>0</v>
      </c>
    </row>
    <row r="618" spans="1:36" x14ac:dyDescent="0.2">
      <c r="A618" s="190" t="s">
        <v>67</v>
      </c>
      <c r="B618" s="642">
        <v>9</v>
      </c>
      <c r="C618" s="184">
        <v>0</v>
      </c>
      <c r="D618" s="184">
        <v>9</v>
      </c>
      <c r="E618" s="184">
        <v>0</v>
      </c>
      <c r="F618" s="184">
        <v>0</v>
      </c>
      <c r="G618" s="184">
        <v>0</v>
      </c>
      <c r="H618" s="184">
        <v>0</v>
      </c>
      <c r="I618" s="184">
        <v>0</v>
      </c>
      <c r="J618" s="184">
        <v>0</v>
      </c>
      <c r="K618" s="184">
        <v>0</v>
      </c>
      <c r="L618" s="184">
        <v>0</v>
      </c>
      <c r="M618" s="654" t="s">
        <v>24</v>
      </c>
      <c r="N618" s="669" t="s">
        <v>67</v>
      </c>
      <c r="O618" s="642">
        <v>0</v>
      </c>
      <c r="P618" s="184">
        <v>0</v>
      </c>
      <c r="Q618" s="184">
        <v>0</v>
      </c>
      <c r="R618" s="184">
        <v>0</v>
      </c>
      <c r="S618" s="184">
        <v>0</v>
      </c>
      <c r="T618" s="184">
        <v>1</v>
      </c>
      <c r="U618" s="184">
        <v>3</v>
      </c>
      <c r="V618" s="184">
        <v>1</v>
      </c>
      <c r="W618" s="184">
        <v>3</v>
      </c>
      <c r="X618" s="184">
        <v>0</v>
      </c>
      <c r="Y618" s="184">
        <v>1</v>
      </c>
      <c r="Z618" s="184">
        <v>0</v>
      </c>
      <c r="AA618" s="184">
        <v>0</v>
      </c>
      <c r="AB618" s="184">
        <v>0</v>
      </c>
      <c r="AC618" s="185">
        <v>44.1</v>
      </c>
      <c r="AD618" s="185" t="s">
        <v>24</v>
      </c>
      <c r="AE618" s="184">
        <v>1</v>
      </c>
      <c r="AF618" s="185">
        <v>11.111111111111111</v>
      </c>
      <c r="AG618" s="184">
        <v>0</v>
      </c>
      <c r="AH618" s="185">
        <v>0</v>
      </c>
      <c r="AI618" s="184">
        <v>0</v>
      </c>
      <c r="AJ618" s="643">
        <v>0</v>
      </c>
    </row>
    <row r="619" spans="1:36" x14ac:dyDescent="0.2">
      <c r="A619" s="190" t="s">
        <v>112</v>
      </c>
      <c r="B619" s="642">
        <v>12</v>
      </c>
      <c r="C619" s="184">
        <v>0</v>
      </c>
      <c r="D619" s="184">
        <v>11</v>
      </c>
      <c r="E619" s="184">
        <v>0</v>
      </c>
      <c r="F619" s="184">
        <v>1</v>
      </c>
      <c r="G619" s="184">
        <v>0</v>
      </c>
      <c r="H619" s="184">
        <v>0</v>
      </c>
      <c r="I619" s="184">
        <v>0</v>
      </c>
      <c r="J619" s="184">
        <v>0</v>
      </c>
      <c r="K619" s="184">
        <v>0</v>
      </c>
      <c r="L619" s="184">
        <v>0</v>
      </c>
      <c r="M619" s="654" t="s">
        <v>24</v>
      </c>
      <c r="N619" s="669" t="s">
        <v>112</v>
      </c>
      <c r="O619" s="642">
        <v>0</v>
      </c>
      <c r="P619" s="184">
        <v>0</v>
      </c>
      <c r="Q619" s="184">
        <v>0</v>
      </c>
      <c r="R619" s="184">
        <v>0</v>
      </c>
      <c r="S619" s="184">
        <v>0</v>
      </c>
      <c r="T619" s="184">
        <v>1</v>
      </c>
      <c r="U619" s="184">
        <v>4</v>
      </c>
      <c r="V619" s="184">
        <v>1</v>
      </c>
      <c r="W619" s="184">
        <v>2</v>
      </c>
      <c r="X619" s="184">
        <v>4</v>
      </c>
      <c r="Y619" s="184">
        <v>0</v>
      </c>
      <c r="Z619" s="184">
        <v>0</v>
      </c>
      <c r="AA619" s="184">
        <v>0</v>
      </c>
      <c r="AB619" s="184">
        <v>0</v>
      </c>
      <c r="AC619" s="185">
        <v>43.7</v>
      </c>
      <c r="AD619" s="185">
        <v>52</v>
      </c>
      <c r="AE619" s="184">
        <v>0</v>
      </c>
      <c r="AF619" s="185">
        <v>0</v>
      </c>
      <c r="AG619" s="184">
        <v>0</v>
      </c>
      <c r="AH619" s="185">
        <v>0</v>
      </c>
      <c r="AI619" s="184">
        <v>0</v>
      </c>
      <c r="AJ619" s="643">
        <v>0</v>
      </c>
    </row>
    <row r="620" spans="1:36" x14ac:dyDescent="0.2">
      <c r="A620" s="190" t="s">
        <v>113</v>
      </c>
      <c r="B620" s="642">
        <v>5</v>
      </c>
      <c r="C620" s="184">
        <v>0</v>
      </c>
      <c r="D620" s="184">
        <v>3</v>
      </c>
      <c r="E620" s="184">
        <v>0</v>
      </c>
      <c r="F620" s="184">
        <v>2</v>
      </c>
      <c r="G620" s="184">
        <v>0</v>
      </c>
      <c r="H620" s="184">
        <v>0</v>
      </c>
      <c r="I620" s="184">
        <v>0</v>
      </c>
      <c r="J620" s="184">
        <v>0</v>
      </c>
      <c r="K620" s="184">
        <v>0</v>
      </c>
      <c r="L620" s="184">
        <v>0</v>
      </c>
      <c r="M620" s="654" t="s">
        <v>24</v>
      </c>
      <c r="N620" s="669" t="s">
        <v>113</v>
      </c>
      <c r="O620" s="642">
        <v>0</v>
      </c>
      <c r="P620" s="184">
        <v>0</v>
      </c>
      <c r="Q620" s="184">
        <v>0</v>
      </c>
      <c r="R620" s="184">
        <v>0</v>
      </c>
      <c r="S620" s="184">
        <v>0</v>
      </c>
      <c r="T620" s="184">
        <v>2</v>
      </c>
      <c r="U620" s="184">
        <v>0</v>
      </c>
      <c r="V620" s="184">
        <v>2</v>
      </c>
      <c r="W620" s="184">
        <v>0</v>
      </c>
      <c r="X620" s="184">
        <v>1</v>
      </c>
      <c r="Y620" s="184">
        <v>0</v>
      </c>
      <c r="Z620" s="184">
        <v>0</v>
      </c>
      <c r="AA620" s="184">
        <v>0</v>
      </c>
      <c r="AB620" s="184">
        <v>0</v>
      </c>
      <c r="AC620" s="185">
        <v>39.799999999999997</v>
      </c>
      <c r="AD620" s="185" t="s">
        <v>24</v>
      </c>
      <c r="AE620" s="184">
        <v>0</v>
      </c>
      <c r="AF620" s="185">
        <v>0</v>
      </c>
      <c r="AG620" s="184">
        <v>0</v>
      </c>
      <c r="AH620" s="185">
        <v>0</v>
      </c>
      <c r="AI620" s="184">
        <v>0</v>
      </c>
      <c r="AJ620" s="643">
        <v>0</v>
      </c>
    </row>
    <row r="621" spans="1:36" x14ac:dyDescent="0.2">
      <c r="A621" s="190" t="s">
        <v>114</v>
      </c>
      <c r="B621" s="642">
        <v>11</v>
      </c>
      <c r="C621" s="184">
        <v>2</v>
      </c>
      <c r="D621" s="184">
        <v>9</v>
      </c>
      <c r="E621" s="184">
        <v>0</v>
      </c>
      <c r="F621" s="184">
        <v>0</v>
      </c>
      <c r="G621" s="184">
        <v>0</v>
      </c>
      <c r="H621" s="184">
        <v>0</v>
      </c>
      <c r="I621" s="184">
        <v>0</v>
      </c>
      <c r="J621" s="184">
        <v>0</v>
      </c>
      <c r="K621" s="184">
        <v>0</v>
      </c>
      <c r="L621" s="184">
        <v>0</v>
      </c>
      <c r="M621" s="654" t="s">
        <v>24</v>
      </c>
      <c r="N621" s="669" t="s">
        <v>114</v>
      </c>
      <c r="O621" s="642">
        <v>0</v>
      </c>
      <c r="P621" s="184">
        <v>0</v>
      </c>
      <c r="Q621" s="184">
        <v>1</v>
      </c>
      <c r="R621" s="184">
        <v>1</v>
      </c>
      <c r="S621" s="184">
        <v>0</v>
      </c>
      <c r="T621" s="184">
        <v>2</v>
      </c>
      <c r="U621" s="184">
        <v>3</v>
      </c>
      <c r="V621" s="184">
        <v>1</v>
      </c>
      <c r="W621" s="184">
        <v>2</v>
      </c>
      <c r="X621" s="184">
        <v>1</v>
      </c>
      <c r="Y621" s="184">
        <v>0</v>
      </c>
      <c r="Z621" s="184">
        <v>0</v>
      </c>
      <c r="AA621" s="184">
        <v>0</v>
      </c>
      <c r="AB621" s="184">
        <v>0</v>
      </c>
      <c r="AC621" s="185">
        <v>36.1</v>
      </c>
      <c r="AD621" s="185">
        <v>47.4</v>
      </c>
      <c r="AE621" s="184">
        <v>0</v>
      </c>
      <c r="AF621" s="185">
        <v>0</v>
      </c>
      <c r="AG621" s="184">
        <v>0</v>
      </c>
      <c r="AH621" s="185">
        <v>0</v>
      </c>
      <c r="AI621" s="184">
        <v>0</v>
      </c>
      <c r="AJ621" s="643">
        <v>0</v>
      </c>
    </row>
    <row r="622" spans="1:36" x14ac:dyDescent="0.2">
      <c r="A622" s="190" t="s">
        <v>69</v>
      </c>
      <c r="B622" s="646">
        <v>11</v>
      </c>
      <c r="C622" s="186">
        <v>0</v>
      </c>
      <c r="D622" s="186">
        <v>11</v>
      </c>
      <c r="E622" s="186">
        <v>0</v>
      </c>
      <c r="F622" s="186">
        <v>0</v>
      </c>
      <c r="G622" s="186">
        <v>0</v>
      </c>
      <c r="H622" s="186">
        <v>0</v>
      </c>
      <c r="I622" s="186">
        <v>0</v>
      </c>
      <c r="J622" s="186">
        <v>0</v>
      </c>
      <c r="K622" s="186">
        <v>0</v>
      </c>
      <c r="L622" s="186">
        <v>0</v>
      </c>
      <c r="M622" s="656" t="s">
        <v>24</v>
      </c>
      <c r="N622" s="669" t="s">
        <v>69</v>
      </c>
      <c r="O622" s="646">
        <v>0</v>
      </c>
      <c r="P622" s="186">
        <v>0</v>
      </c>
      <c r="Q622" s="186">
        <v>0</v>
      </c>
      <c r="R622" s="186">
        <v>0</v>
      </c>
      <c r="S622" s="186">
        <v>0</v>
      </c>
      <c r="T622" s="186">
        <v>0</v>
      </c>
      <c r="U622" s="186">
        <v>7</v>
      </c>
      <c r="V622" s="186">
        <v>2</v>
      </c>
      <c r="W622" s="186">
        <v>0</v>
      </c>
      <c r="X622" s="186">
        <v>2</v>
      </c>
      <c r="Y622" s="186">
        <v>0</v>
      </c>
      <c r="Z622" s="186">
        <v>0</v>
      </c>
      <c r="AA622" s="186">
        <v>0</v>
      </c>
      <c r="AB622" s="186">
        <v>0</v>
      </c>
      <c r="AC622" s="187">
        <v>41.8</v>
      </c>
      <c r="AD622" s="187">
        <v>53.1</v>
      </c>
      <c r="AE622" s="186">
        <v>0</v>
      </c>
      <c r="AF622" s="187">
        <v>0</v>
      </c>
      <c r="AG622" s="186">
        <v>0</v>
      </c>
      <c r="AH622" s="187">
        <v>0</v>
      </c>
      <c r="AI622" s="186">
        <v>0</v>
      </c>
      <c r="AJ622" s="647">
        <v>0</v>
      </c>
    </row>
    <row r="623" spans="1:36" x14ac:dyDescent="0.2">
      <c r="A623" s="190" t="s">
        <v>115</v>
      </c>
      <c r="B623" s="642">
        <v>7</v>
      </c>
      <c r="C623" s="184">
        <v>1</v>
      </c>
      <c r="D623" s="184">
        <v>6</v>
      </c>
      <c r="E623" s="184">
        <v>0</v>
      </c>
      <c r="F623" s="184">
        <v>0</v>
      </c>
      <c r="G623" s="184">
        <v>0</v>
      </c>
      <c r="H623" s="184">
        <v>0</v>
      </c>
      <c r="I623" s="184">
        <v>0</v>
      </c>
      <c r="J623" s="184">
        <v>0</v>
      </c>
      <c r="K623" s="184">
        <v>0</v>
      </c>
      <c r="L623" s="184">
        <v>0</v>
      </c>
      <c r="M623" s="654" t="s">
        <v>24</v>
      </c>
      <c r="N623" s="669" t="s">
        <v>115</v>
      </c>
      <c r="O623" s="642">
        <v>0</v>
      </c>
      <c r="P623" s="184">
        <v>0</v>
      </c>
      <c r="Q623" s="184">
        <v>0</v>
      </c>
      <c r="R623" s="184">
        <v>1</v>
      </c>
      <c r="S623" s="184">
        <v>0</v>
      </c>
      <c r="T623" s="184">
        <v>0</v>
      </c>
      <c r="U623" s="184">
        <v>1</v>
      </c>
      <c r="V623" s="184">
        <v>2</v>
      </c>
      <c r="W623" s="184">
        <v>0</v>
      </c>
      <c r="X623" s="184">
        <v>2</v>
      </c>
      <c r="Y623" s="184">
        <v>1</v>
      </c>
      <c r="Z623" s="184">
        <v>0</v>
      </c>
      <c r="AA623" s="184">
        <v>0</v>
      </c>
      <c r="AB623" s="184">
        <v>0</v>
      </c>
      <c r="AC623" s="185">
        <v>44.7</v>
      </c>
      <c r="AD623" s="185" t="s">
        <v>24</v>
      </c>
      <c r="AE623" s="184">
        <v>1</v>
      </c>
      <c r="AF623" s="185">
        <v>14.285714285714285</v>
      </c>
      <c r="AG623" s="184">
        <v>0</v>
      </c>
      <c r="AH623" s="185">
        <v>0</v>
      </c>
      <c r="AI623" s="184">
        <v>0</v>
      </c>
      <c r="AJ623" s="643">
        <v>0</v>
      </c>
    </row>
    <row r="624" spans="1:36" x14ac:dyDescent="0.2">
      <c r="A624" s="190" t="s">
        <v>116</v>
      </c>
      <c r="B624" s="642">
        <v>2</v>
      </c>
      <c r="C624" s="184">
        <v>0</v>
      </c>
      <c r="D624" s="184">
        <v>2</v>
      </c>
      <c r="E624" s="184">
        <v>0</v>
      </c>
      <c r="F624" s="184">
        <v>0</v>
      </c>
      <c r="G624" s="184">
        <v>0</v>
      </c>
      <c r="H624" s="184">
        <v>0</v>
      </c>
      <c r="I624" s="184">
        <v>0</v>
      </c>
      <c r="J624" s="184">
        <v>0</v>
      </c>
      <c r="K624" s="184">
        <v>0</v>
      </c>
      <c r="L624" s="184">
        <v>0</v>
      </c>
      <c r="M624" s="654" t="s">
        <v>24</v>
      </c>
      <c r="N624" s="669" t="s">
        <v>116</v>
      </c>
      <c r="O624" s="642">
        <v>0</v>
      </c>
      <c r="P624" s="184">
        <v>0</v>
      </c>
      <c r="Q624" s="184">
        <v>0</v>
      </c>
      <c r="R624" s="184">
        <v>0</v>
      </c>
      <c r="S624" s="184">
        <v>0</v>
      </c>
      <c r="T624" s="184">
        <v>0</v>
      </c>
      <c r="U624" s="184">
        <v>0</v>
      </c>
      <c r="V624" s="184">
        <v>1</v>
      </c>
      <c r="W624" s="184">
        <v>1</v>
      </c>
      <c r="X624" s="184">
        <v>0</v>
      </c>
      <c r="Y624" s="184">
        <v>0</v>
      </c>
      <c r="Z624" s="184">
        <v>0</v>
      </c>
      <c r="AA624" s="184">
        <v>0</v>
      </c>
      <c r="AB624" s="184">
        <v>0</v>
      </c>
      <c r="AC624" s="185">
        <v>45</v>
      </c>
      <c r="AD624" s="185" t="s">
        <v>24</v>
      </c>
      <c r="AE624" s="184">
        <v>0</v>
      </c>
      <c r="AF624" s="185">
        <v>0</v>
      </c>
      <c r="AG624" s="184">
        <v>0</v>
      </c>
      <c r="AH624" s="185">
        <v>0</v>
      </c>
      <c r="AI624" s="184">
        <v>0</v>
      </c>
      <c r="AJ624" s="643">
        <v>0</v>
      </c>
    </row>
    <row r="625" spans="1:36" ht="13.5" thickBot="1" x14ac:dyDescent="0.25">
      <c r="A625" s="190" t="s">
        <v>117</v>
      </c>
      <c r="B625" s="644">
        <v>7</v>
      </c>
      <c r="C625" s="188">
        <v>0</v>
      </c>
      <c r="D625" s="188">
        <v>6</v>
      </c>
      <c r="E625" s="188">
        <v>0</v>
      </c>
      <c r="F625" s="188">
        <v>1</v>
      </c>
      <c r="G625" s="188">
        <v>0</v>
      </c>
      <c r="H625" s="188">
        <v>0</v>
      </c>
      <c r="I625" s="188">
        <v>0</v>
      </c>
      <c r="J625" s="188">
        <v>0</v>
      </c>
      <c r="K625" s="188">
        <v>0</v>
      </c>
      <c r="L625" s="188">
        <v>0</v>
      </c>
      <c r="M625" s="655" t="s">
        <v>24</v>
      </c>
      <c r="N625" s="669" t="s">
        <v>117</v>
      </c>
      <c r="O625" s="644">
        <v>0</v>
      </c>
      <c r="P625" s="188">
        <v>0</v>
      </c>
      <c r="Q625" s="188">
        <v>0</v>
      </c>
      <c r="R625" s="188">
        <v>0</v>
      </c>
      <c r="S625" s="188">
        <v>0</v>
      </c>
      <c r="T625" s="188">
        <v>0</v>
      </c>
      <c r="U625" s="188">
        <v>1</v>
      </c>
      <c r="V625" s="188">
        <v>3</v>
      </c>
      <c r="W625" s="188">
        <v>3</v>
      </c>
      <c r="X625" s="188">
        <v>0</v>
      </c>
      <c r="Y625" s="188">
        <v>0</v>
      </c>
      <c r="Z625" s="188">
        <v>0</v>
      </c>
      <c r="AA625" s="188">
        <v>0</v>
      </c>
      <c r="AB625" s="188">
        <v>0</v>
      </c>
      <c r="AC625" s="189">
        <v>43.4</v>
      </c>
      <c r="AD625" s="189" t="s">
        <v>24</v>
      </c>
      <c r="AE625" s="188">
        <v>0</v>
      </c>
      <c r="AF625" s="189">
        <v>0</v>
      </c>
      <c r="AG625" s="188">
        <v>0</v>
      </c>
      <c r="AH625" s="189">
        <v>0</v>
      </c>
      <c r="AI625" s="188">
        <v>0</v>
      </c>
      <c r="AJ625" s="645">
        <v>0</v>
      </c>
    </row>
    <row r="626" spans="1:36" x14ac:dyDescent="0.2">
      <c r="A626" s="190" t="s">
        <v>71</v>
      </c>
      <c r="B626" s="642">
        <v>7</v>
      </c>
      <c r="C626" s="184">
        <v>0</v>
      </c>
      <c r="D626" s="184">
        <v>7</v>
      </c>
      <c r="E626" s="184">
        <v>0</v>
      </c>
      <c r="F626" s="184">
        <v>0</v>
      </c>
      <c r="G626" s="184">
        <v>0</v>
      </c>
      <c r="H626" s="184">
        <v>0</v>
      </c>
      <c r="I626" s="184">
        <v>0</v>
      </c>
      <c r="J626" s="184">
        <v>0</v>
      </c>
      <c r="K626" s="184">
        <v>0</v>
      </c>
      <c r="L626" s="184">
        <v>0</v>
      </c>
      <c r="M626" s="654" t="s">
        <v>24</v>
      </c>
      <c r="N626" s="669" t="s">
        <v>71</v>
      </c>
      <c r="O626" s="642">
        <v>0</v>
      </c>
      <c r="P626" s="184">
        <v>0</v>
      </c>
      <c r="Q626" s="184">
        <v>0</v>
      </c>
      <c r="R626" s="184">
        <v>0</v>
      </c>
      <c r="S626" s="184">
        <v>0</v>
      </c>
      <c r="T626" s="184">
        <v>2</v>
      </c>
      <c r="U626" s="184">
        <v>1</v>
      </c>
      <c r="V626" s="184">
        <v>0</v>
      </c>
      <c r="W626" s="184">
        <v>4</v>
      </c>
      <c r="X626" s="184">
        <v>0</v>
      </c>
      <c r="Y626" s="184">
        <v>0</v>
      </c>
      <c r="Z626" s="184">
        <v>0</v>
      </c>
      <c r="AA626" s="184">
        <v>0</v>
      </c>
      <c r="AB626" s="184">
        <v>0</v>
      </c>
      <c r="AC626" s="185">
        <v>42.7</v>
      </c>
      <c r="AD626" s="185" t="s">
        <v>24</v>
      </c>
      <c r="AE626" s="184">
        <v>0</v>
      </c>
      <c r="AF626" s="185">
        <v>0</v>
      </c>
      <c r="AG626" s="184">
        <v>0</v>
      </c>
      <c r="AH626" s="185">
        <v>0</v>
      </c>
      <c r="AI626" s="184">
        <v>0</v>
      </c>
      <c r="AJ626" s="643">
        <v>0</v>
      </c>
    </row>
    <row r="627" spans="1:36" x14ac:dyDescent="0.2">
      <c r="A627" s="190" t="s">
        <v>118</v>
      </c>
      <c r="B627" s="642">
        <v>9</v>
      </c>
      <c r="C627" s="184">
        <v>0</v>
      </c>
      <c r="D627" s="184">
        <v>9</v>
      </c>
      <c r="E627" s="184">
        <v>0</v>
      </c>
      <c r="F627" s="184">
        <v>0</v>
      </c>
      <c r="G627" s="184">
        <v>0</v>
      </c>
      <c r="H627" s="184">
        <v>0</v>
      </c>
      <c r="I627" s="184">
        <v>0</v>
      </c>
      <c r="J627" s="184">
        <v>0</v>
      </c>
      <c r="K627" s="184">
        <v>0</v>
      </c>
      <c r="L627" s="184">
        <v>0</v>
      </c>
      <c r="M627" s="654" t="s">
        <v>24</v>
      </c>
      <c r="N627" s="669" t="s">
        <v>118</v>
      </c>
      <c r="O627" s="642">
        <v>0</v>
      </c>
      <c r="P627" s="184">
        <v>0</v>
      </c>
      <c r="Q627" s="184">
        <v>0</v>
      </c>
      <c r="R627" s="184">
        <v>0</v>
      </c>
      <c r="S627" s="184">
        <v>0</v>
      </c>
      <c r="T627" s="184">
        <v>0</v>
      </c>
      <c r="U627" s="184">
        <v>4</v>
      </c>
      <c r="V627" s="184">
        <v>1</v>
      </c>
      <c r="W627" s="184">
        <v>3</v>
      </c>
      <c r="X627" s="184">
        <v>0</v>
      </c>
      <c r="Y627" s="184">
        <v>1</v>
      </c>
      <c r="Z627" s="184">
        <v>0</v>
      </c>
      <c r="AA627" s="184">
        <v>0</v>
      </c>
      <c r="AB627" s="184">
        <v>0</v>
      </c>
      <c r="AC627" s="185">
        <v>45.5</v>
      </c>
      <c r="AD627" s="185" t="s">
        <v>24</v>
      </c>
      <c r="AE627" s="184">
        <v>1</v>
      </c>
      <c r="AF627" s="185">
        <v>11.111111111111111</v>
      </c>
      <c r="AG627" s="184">
        <v>0</v>
      </c>
      <c r="AH627" s="185">
        <v>0</v>
      </c>
      <c r="AI627" s="184">
        <v>0</v>
      </c>
      <c r="AJ627" s="643">
        <v>0</v>
      </c>
    </row>
    <row r="628" spans="1:36" x14ac:dyDescent="0.2">
      <c r="A628" s="190" t="s">
        <v>119</v>
      </c>
      <c r="B628" s="642">
        <v>5</v>
      </c>
      <c r="C628" s="184">
        <v>0</v>
      </c>
      <c r="D628" s="184">
        <v>4</v>
      </c>
      <c r="E628" s="184">
        <v>0</v>
      </c>
      <c r="F628" s="184">
        <v>1</v>
      </c>
      <c r="G628" s="184">
        <v>0</v>
      </c>
      <c r="H628" s="184">
        <v>0</v>
      </c>
      <c r="I628" s="184">
        <v>0</v>
      </c>
      <c r="J628" s="184">
        <v>0</v>
      </c>
      <c r="K628" s="184">
        <v>0</v>
      </c>
      <c r="L628" s="184">
        <v>0</v>
      </c>
      <c r="M628" s="654" t="s">
        <v>24</v>
      </c>
      <c r="N628" s="669" t="s">
        <v>119</v>
      </c>
      <c r="O628" s="642">
        <v>0</v>
      </c>
      <c r="P628" s="184">
        <v>0</v>
      </c>
      <c r="Q628" s="184">
        <v>0</v>
      </c>
      <c r="R628" s="184">
        <v>0</v>
      </c>
      <c r="S628" s="184">
        <v>0</v>
      </c>
      <c r="T628" s="184">
        <v>0</v>
      </c>
      <c r="U628" s="184">
        <v>1</v>
      </c>
      <c r="V628" s="184">
        <v>3</v>
      </c>
      <c r="W628" s="184">
        <v>0</v>
      </c>
      <c r="X628" s="184">
        <v>1</v>
      </c>
      <c r="Y628" s="184">
        <v>0</v>
      </c>
      <c r="Z628" s="184">
        <v>0</v>
      </c>
      <c r="AA628" s="184">
        <v>0</v>
      </c>
      <c r="AB628" s="184">
        <v>0</v>
      </c>
      <c r="AC628" s="185">
        <v>44.2</v>
      </c>
      <c r="AD628" s="185" t="s">
        <v>24</v>
      </c>
      <c r="AE628" s="184">
        <v>0</v>
      </c>
      <c r="AF628" s="185">
        <v>0</v>
      </c>
      <c r="AG628" s="184">
        <v>0</v>
      </c>
      <c r="AH628" s="185">
        <v>0</v>
      </c>
      <c r="AI628" s="184">
        <v>0</v>
      </c>
      <c r="AJ628" s="643">
        <v>0</v>
      </c>
    </row>
    <row r="629" spans="1:36" x14ac:dyDescent="0.2">
      <c r="A629" s="190" t="s">
        <v>120</v>
      </c>
      <c r="B629" s="642">
        <v>9</v>
      </c>
      <c r="C629" s="184">
        <v>1</v>
      </c>
      <c r="D629" s="184">
        <v>6</v>
      </c>
      <c r="E629" s="184">
        <v>1</v>
      </c>
      <c r="F629" s="184">
        <v>1</v>
      </c>
      <c r="G629" s="184">
        <v>0</v>
      </c>
      <c r="H629" s="184">
        <v>0</v>
      </c>
      <c r="I629" s="184">
        <v>0</v>
      </c>
      <c r="J629" s="184">
        <v>0</v>
      </c>
      <c r="K629" s="184">
        <v>0</v>
      </c>
      <c r="L629" s="184">
        <v>0</v>
      </c>
      <c r="M629" s="654" t="s">
        <v>24</v>
      </c>
      <c r="N629" s="669" t="s">
        <v>120</v>
      </c>
      <c r="O629" s="642">
        <v>0</v>
      </c>
      <c r="P629" s="184">
        <v>0</v>
      </c>
      <c r="Q629" s="184">
        <v>1</v>
      </c>
      <c r="R629" s="184">
        <v>0</v>
      </c>
      <c r="S629" s="184">
        <v>0</v>
      </c>
      <c r="T629" s="184">
        <v>1</v>
      </c>
      <c r="U629" s="184">
        <v>2</v>
      </c>
      <c r="V629" s="184">
        <v>0</v>
      </c>
      <c r="W629" s="184">
        <v>4</v>
      </c>
      <c r="X629" s="184">
        <v>1</v>
      </c>
      <c r="Y629" s="184">
        <v>0</v>
      </c>
      <c r="Z629" s="184">
        <v>0</v>
      </c>
      <c r="AA629" s="184">
        <v>0</v>
      </c>
      <c r="AB629" s="184">
        <v>0</v>
      </c>
      <c r="AC629" s="185">
        <v>40.799999999999997</v>
      </c>
      <c r="AD629" s="185" t="s">
        <v>24</v>
      </c>
      <c r="AE629" s="184">
        <v>0</v>
      </c>
      <c r="AF629" s="185">
        <v>0</v>
      </c>
      <c r="AG629" s="184">
        <v>0</v>
      </c>
      <c r="AH629" s="185">
        <v>0</v>
      </c>
      <c r="AI629" s="184">
        <v>0</v>
      </c>
      <c r="AJ629" s="643">
        <v>0</v>
      </c>
    </row>
    <row r="630" spans="1:36" x14ac:dyDescent="0.2">
      <c r="A630" s="190" t="s">
        <v>72</v>
      </c>
      <c r="B630" s="642">
        <v>6</v>
      </c>
      <c r="C630" s="184">
        <v>0</v>
      </c>
      <c r="D630" s="184">
        <v>6</v>
      </c>
      <c r="E630" s="184">
        <v>0</v>
      </c>
      <c r="F630" s="184">
        <v>0</v>
      </c>
      <c r="G630" s="184">
        <v>0</v>
      </c>
      <c r="H630" s="184">
        <v>0</v>
      </c>
      <c r="I630" s="184">
        <v>0</v>
      </c>
      <c r="J630" s="184">
        <v>0</v>
      </c>
      <c r="K630" s="184">
        <v>0</v>
      </c>
      <c r="L630" s="184">
        <v>0</v>
      </c>
      <c r="M630" s="654" t="s">
        <v>24</v>
      </c>
      <c r="N630" s="669" t="s">
        <v>72</v>
      </c>
      <c r="O630" s="642">
        <v>0</v>
      </c>
      <c r="P630" s="184">
        <v>0</v>
      </c>
      <c r="Q630" s="184">
        <v>0</v>
      </c>
      <c r="R630" s="184">
        <v>0</v>
      </c>
      <c r="S630" s="184">
        <v>0</v>
      </c>
      <c r="T630" s="184">
        <v>0</v>
      </c>
      <c r="U630" s="184">
        <v>3</v>
      </c>
      <c r="V630" s="184">
        <v>1</v>
      </c>
      <c r="W630" s="184">
        <v>1</v>
      </c>
      <c r="X630" s="184">
        <v>1</v>
      </c>
      <c r="Y630" s="184">
        <v>0</v>
      </c>
      <c r="Z630" s="184">
        <v>0</v>
      </c>
      <c r="AA630" s="184">
        <v>0</v>
      </c>
      <c r="AB630" s="184">
        <v>0</v>
      </c>
      <c r="AC630" s="185">
        <v>41.7</v>
      </c>
      <c r="AD630" s="185" t="s">
        <v>24</v>
      </c>
      <c r="AE630" s="184">
        <v>0</v>
      </c>
      <c r="AF630" s="185">
        <v>0</v>
      </c>
      <c r="AG630" s="184">
        <v>0</v>
      </c>
      <c r="AH630" s="185">
        <v>0</v>
      </c>
      <c r="AI630" s="184">
        <v>0</v>
      </c>
      <c r="AJ630" s="643">
        <v>0</v>
      </c>
    </row>
    <row r="631" spans="1:36" x14ac:dyDescent="0.2">
      <c r="A631" s="190" t="s">
        <v>121</v>
      </c>
      <c r="B631" s="642">
        <v>4</v>
      </c>
      <c r="C631" s="184">
        <v>0</v>
      </c>
      <c r="D631" s="184">
        <v>4</v>
      </c>
      <c r="E631" s="184">
        <v>0</v>
      </c>
      <c r="F631" s="184">
        <v>0</v>
      </c>
      <c r="G631" s="184">
        <v>0</v>
      </c>
      <c r="H631" s="184">
        <v>0</v>
      </c>
      <c r="I631" s="184">
        <v>0</v>
      </c>
      <c r="J631" s="184">
        <v>0</v>
      </c>
      <c r="K631" s="184">
        <v>0</v>
      </c>
      <c r="L631" s="184">
        <v>0</v>
      </c>
      <c r="M631" s="654" t="s">
        <v>24</v>
      </c>
      <c r="N631" s="669" t="s">
        <v>121</v>
      </c>
      <c r="O631" s="642">
        <v>0</v>
      </c>
      <c r="P631" s="184">
        <v>0</v>
      </c>
      <c r="Q631" s="184">
        <v>0</v>
      </c>
      <c r="R631" s="184">
        <v>0</v>
      </c>
      <c r="S631" s="184">
        <v>0</v>
      </c>
      <c r="T631" s="184">
        <v>0</v>
      </c>
      <c r="U631" s="184">
        <v>1</v>
      </c>
      <c r="V631" s="184">
        <v>2</v>
      </c>
      <c r="W631" s="184">
        <v>1</v>
      </c>
      <c r="X631" s="184">
        <v>0</v>
      </c>
      <c r="Y631" s="184">
        <v>0</v>
      </c>
      <c r="Z631" s="184">
        <v>0</v>
      </c>
      <c r="AA631" s="184">
        <v>0</v>
      </c>
      <c r="AB631" s="184">
        <v>0</v>
      </c>
      <c r="AC631" s="185">
        <v>42.3</v>
      </c>
      <c r="AD631" s="185" t="s">
        <v>24</v>
      </c>
      <c r="AE631" s="184">
        <v>0</v>
      </c>
      <c r="AF631" s="185">
        <v>0</v>
      </c>
      <c r="AG631" s="184">
        <v>0</v>
      </c>
      <c r="AH631" s="185">
        <v>0</v>
      </c>
      <c r="AI631" s="184">
        <v>0</v>
      </c>
      <c r="AJ631" s="643">
        <v>0</v>
      </c>
    </row>
    <row r="632" spans="1:36" x14ac:dyDescent="0.2">
      <c r="A632" s="190" t="s">
        <v>122</v>
      </c>
      <c r="B632" s="642">
        <v>4</v>
      </c>
      <c r="C632" s="184">
        <v>0</v>
      </c>
      <c r="D632" s="184">
        <v>4</v>
      </c>
      <c r="E632" s="184">
        <v>0</v>
      </c>
      <c r="F632" s="184">
        <v>0</v>
      </c>
      <c r="G632" s="184">
        <v>0</v>
      </c>
      <c r="H632" s="184">
        <v>0</v>
      </c>
      <c r="I632" s="184">
        <v>0</v>
      </c>
      <c r="J632" s="184">
        <v>0</v>
      </c>
      <c r="K632" s="184">
        <v>0</v>
      </c>
      <c r="L632" s="184">
        <v>0</v>
      </c>
      <c r="M632" s="654" t="s">
        <v>24</v>
      </c>
      <c r="N632" s="669" t="s">
        <v>122</v>
      </c>
      <c r="O632" s="642">
        <v>0</v>
      </c>
      <c r="P632" s="184">
        <v>0</v>
      </c>
      <c r="Q632" s="184">
        <v>0</v>
      </c>
      <c r="R632" s="184">
        <v>0</v>
      </c>
      <c r="S632" s="184">
        <v>0</v>
      </c>
      <c r="T632" s="184">
        <v>0</v>
      </c>
      <c r="U632" s="184">
        <v>2</v>
      </c>
      <c r="V632" s="184">
        <v>1</v>
      </c>
      <c r="W632" s="184">
        <v>0</v>
      </c>
      <c r="X632" s="184">
        <v>1</v>
      </c>
      <c r="Y632" s="184">
        <v>0</v>
      </c>
      <c r="Z632" s="184">
        <v>0</v>
      </c>
      <c r="AA632" s="184">
        <v>0</v>
      </c>
      <c r="AB632" s="184">
        <v>0</v>
      </c>
      <c r="AC632" s="185">
        <v>42.9</v>
      </c>
      <c r="AD632" s="185" t="s">
        <v>24</v>
      </c>
      <c r="AE632" s="184">
        <v>0</v>
      </c>
      <c r="AF632" s="185">
        <v>0</v>
      </c>
      <c r="AG632" s="184">
        <v>0</v>
      </c>
      <c r="AH632" s="185">
        <v>0</v>
      </c>
      <c r="AI632" s="184">
        <v>0</v>
      </c>
      <c r="AJ632" s="643">
        <v>0</v>
      </c>
    </row>
    <row r="633" spans="1:36" x14ac:dyDescent="0.2">
      <c r="A633" s="190" t="s">
        <v>123</v>
      </c>
      <c r="B633" s="642">
        <v>3</v>
      </c>
      <c r="C633" s="184">
        <v>0</v>
      </c>
      <c r="D633" s="184">
        <v>3</v>
      </c>
      <c r="E633" s="184">
        <v>0</v>
      </c>
      <c r="F633" s="184">
        <v>0</v>
      </c>
      <c r="G633" s="184">
        <v>0</v>
      </c>
      <c r="H633" s="184">
        <v>0</v>
      </c>
      <c r="I633" s="184">
        <v>0</v>
      </c>
      <c r="J633" s="184">
        <v>0</v>
      </c>
      <c r="K633" s="184">
        <v>0</v>
      </c>
      <c r="L633" s="184">
        <v>0</v>
      </c>
      <c r="M633" s="654" t="s">
        <v>24</v>
      </c>
      <c r="N633" s="669" t="s">
        <v>123</v>
      </c>
      <c r="O633" s="642">
        <v>0</v>
      </c>
      <c r="P633" s="184">
        <v>0</v>
      </c>
      <c r="Q633" s="184">
        <v>0</v>
      </c>
      <c r="R633" s="184">
        <v>0</v>
      </c>
      <c r="S633" s="184">
        <v>0</v>
      </c>
      <c r="T633" s="184">
        <v>0</v>
      </c>
      <c r="U633" s="184">
        <v>1</v>
      </c>
      <c r="V633" s="184">
        <v>1</v>
      </c>
      <c r="W633" s="184">
        <v>0</v>
      </c>
      <c r="X633" s="184">
        <v>0</v>
      </c>
      <c r="Y633" s="184">
        <v>1</v>
      </c>
      <c r="Z633" s="184">
        <v>0</v>
      </c>
      <c r="AA633" s="184">
        <v>0</v>
      </c>
      <c r="AB633" s="184">
        <v>0</v>
      </c>
      <c r="AC633" s="185">
        <v>48.3</v>
      </c>
      <c r="AD633" s="185" t="s">
        <v>24</v>
      </c>
      <c r="AE633" s="184">
        <v>1</v>
      </c>
      <c r="AF633" s="185">
        <v>33.333333333333329</v>
      </c>
      <c r="AG633" s="184">
        <v>0</v>
      </c>
      <c r="AH633" s="185">
        <v>0</v>
      </c>
      <c r="AI633" s="184">
        <v>0</v>
      </c>
      <c r="AJ633" s="643">
        <v>0</v>
      </c>
    </row>
    <row r="634" spans="1:36" x14ac:dyDescent="0.2">
      <c r="A634" s="190" t="s">
        <v>74</v>
      </c>
      <c r="B634" s="642">
        <v>6</v>
      </c>
      <c r="C634" s="184">
        <v>0</v>
      </c>
      <c r="D634" s="184">
        <v>6</v>
      </c>
      <c r="E634" s="184">
        <v>0</v>
      </c>
      <c r="F634" s="184">
        <v>0</v>
      </c>
      <c r="G634" s="184">
        <v>0</v>
      </c>
      <c r="H634" s="184">
        <v>0</v>
      </c>
      <c r="I634" s="184">
        <v>0</v>
      </c>
      <c r="J634" s="184">
        <v>0</v>
      </c>
      <c r="K634" s="184">
        <v>0</v>
      </c>
      <c r="L634" s="184">
        <v>0</v>
      </c>
      <c r="M634" s="654" t="s">
        <v>24</v>
      </c>
      <c r="N634" s="669" t="s">
        <v>74</v>
      </c>
      <c r="O634" s="642">
        <v>0</v>
      </c>
      <c r="P634" s="184">
        <v>0</v>
      </c>
      <c r="Q634" s="184">
        <v>0</v>
      </c>
      <c r="R634" s="184">
        <v>0</v>
      </c>
      <c r="S634" s="184">
        <v>0</v>
      </c>
      <c r="T634" s="184">
        <v>0</v>
      </c>
      <c r="U634" s="184">
        <v>1</v>
      </c>
      <c r="V634" s="184">
        <v>2</v>
      </c>
      <c r="W634" s="184">
        <v>0</v>
      </c>
      <c r="X634" s="184">
        <v>2</v>
      </c>
      <c r="Y634" s="184">
        <v>1</v>
      </c>
      <c r="Z634" s="184">
        <v>0</v>
      </c>
      <c r="AA634" s="184">
        <v>0</v>
      </c>
      <c r="AB634" s="184">
        <v>0</v>
      </c>
      <c r="AC634" s="185">
        <v>49</v>
      </c>
      <c r="AD634" s="185" t="s">
        <v>24</v>
      </c>
      <c r="AE634" s="184">
        <v>1</v>
      </c>
      <c r="AF634" s="185">
        <v>16.666666666666664</v>
      </c>
      <c r="AG634" s="184">
        <v>0</v>
      </c>
      <c r="AH634" s="185">
        <v>0</v>
      </c>
      <c r="AI634" s="184">
        <v>0</v>
      </c>
      <c r="AJ634" s="643">
        <v>0</v>
      </c>
    </row>
    <row r="635" spans="1:36" x14ac:dyDescent="0.2">
      <c r="A635" s="190" t="s">
        <v>124</v>
      </c>
      <c r="B635" s="642">
        <v>3</v>
      </c>
      <c r="C635" s="184">
        <v>1</v>
      </c>
      <c r="D635" s="184">
        <v>2</v>
      </c>
      <c r="E635" s="184">
        <v>0</v>
      </c>
      <c r="F635" s="184">
        <v>0</v>
      </c>
      <c r="G635" s="184">
        <v>0</v>
      </c>
      <c r="H635" s="184">
        <v>0</v>
      </c>
      <c r="I635" s="184">
        <v>0</v>
      </c>
      <c r="J635" s="184">
        <v>0</v>
      </c>
      <c r="K635" s="184">
        <v>0</v>
      </c>
      <c r="L635" s="184">
        <v>0</v>
      </c>
      <c r="M635" s="654" t="s">
        <v>24</v>
      </c>
      <c r="N635" s="669" t="s">
        <v>124</v>
      </c>
      <c r="O635" s="642">
        <v>0</v>
      </c>
      <c r="P635" s="184">
        <v>0</v>
      </c>
      <c r="Q635" s="184">
        <v>0</v>
      </c>
      <c r="R635" s="184">
        <v>1</v>
      </c>
      <c r="S635" s="184">
        <v>1</v>
      </c>
      <c r="T635" s="184">
        <v>0</v>
      </c>
      <c r="U635" s="184">
        <v>0</v>
      </c>
      <c r="V635" s="184">
        <v>0</v>
      </c>
      <c r="W635" s="184">
        <v>0</v>
      </c>
      <c r="X635" s="184">
        <v>1</v>
      </c>
      <c r="Y635" s="184">
        <v>0</v>
      </c>
      <c r="Z635" s="184">
        <v>0</v>
      </c>
      <c r="AA635" s="184">
        <v>0</v>
      </c>
      <c r="AB635" s="184">
        <v>0</v>
      </c>
      <c r="AC635" s="185">
        <v>34.6</v>
      </c>
      <c r="AD635" s="185" t="s">
        <v>24</v>
      </c>
      <c r="AE635" s="184">
        <v>0</v>
      </c>
      <c r="AF635" s="185">
        <v>0</v>
      </c>
      <c r="AG635" s="184">
        <v>0</v>
      </c>
      <c r="AH635" s="185">
        <v>0</v>
      </c>
      <c r="AI635" s="184">
        <v>0</v>
      </c>
      <c r="AJ635" s="643">
        <v>0</v>
      </c>
    </row>
    <row r="636" spans="1:36" x14ac:dyDescent="0.2">
      <c r="A636" s="190" t="s">
        <v>125</v>
      </c>
      <c r="B636" s="642">
        <v>2</v>
      </c>
      <c r="C636" s="184">
        <v>0</v>
      </c>
      <c r="D636" s="184">
        <v>2</v>
      </c>
      <c r="E636" s="184">
        <v>0</v>
      </c>
      <c r="F636" s="184">
        <v>0</v>
      </c>
      <c r="G636" s="184">
        <v>0</v>
      </c>
      <c r="H636" s="184">
        <v>0</v>
      </c>
      <c r="I636" s="184">
        <v>0</v>
      </c>
      <c r="J636" s="184">
        <v>0</v>
      </c>
      <c r="K636" s="184">
        <v>0</v>
      </c>
      <c r="L636" s="184">
        <v>0</v>
      </c>
      <c r="M636" s="654" t="s">
        <v>24</v>
      </c>
      <c r="N636" s="669" t="s">
        <v>125</v>
      </c>
      <c r="O636" s="642">
        <v>0</v>
      </c>
      <c r="P636" s="184">
        <v>0</v>
      </c>
      <c r="Q636" s="184">
        <v>0</v>
      </c>
      <c r="R636" s="184">
        <v>0</v>
      </c>
      <c r="S636" s="184">
        <v>0</v>
      </c>
      <c r="T636" s="184">
        <v>0</v>
      </c>
      <c r="U636" s="184">
        <v>0</v>
      </c>
      <c r="V636" s="184">
        <v>0</v>
      </c>
      <c r="W636" s="184">
        <v>2</v>
      </c>
      <c r="X636" s="184">
        <v>0</v>
      </c>
      <c r="Y636" s="184">
        <v>0</v>
      </c>
      <c r="Z636" s="184">
        <v>0</v>
      </c>
      <c r="AA636" s="184">
        <v>0</v>
      </c>
      <c r="AB636" s="184">
        <v>0</v>
      </c>
      <c r="AC636" s="185">
        <v>47.1</v>
      </c>
      <c r="AD636" s="185" t="s">
        <v>24</v>
      </c>
      <c r="AE636" s="184">
        <v>0</v>
      </c>
      <c r="AF636" s="185">
        <v>0</v>
      </c>
      <c r="AG636" s="184">
        <v>0</v>
      </c>
      <c r="AH636" s="185">
        <v>0</v>
      </c>
      <c r="AI636" s="184">
        <v>0</v>
      </c>
      <c r="AJ636" s="643">
        <v>0</v>
      </c>
    </row>
    <row r="637" spans="1:36" x14ac:dyDescent="0.2">
      <c r="A637" s="190" t="s">
        <v>126</v>
      </c>
      <c r="B637" s="642">
        <v>2</v>
      </c>
      <c r="C637" s="184">
        <v>0</v>
      </c>
      <c r="D637" s="184">
        <v>1</v>
      </c>
      <c r="E637" s="184">
        <v>1</v>
      </c>
      <c r="F637" s="184">
        <v>0</v>
      </c>
      <c r="G637" s="184">
        <v>0</v>
      </c>
      <c r="H637" s="184">
        <v>0</v>
      </c>
      <c r="I637" s="184">
        <v>0</v>
      </c>
      <c r="J637" s="184">
        <v>0</v>
      </c>
      <c r="K637" s="184">
        <v>0</v>
      </c>
      <c r="L637" s="184">
        <v>0</v>
      </c>
      <c r="M637" s="654" t="s">
        <v>24</v>
      </c>
      <c r="N637" s="669" t="s">
        <v>126</v>
      </c>
      <c r="O637" s="642">
        <v>0</v>
      </c>
      <c r="P637" s="184">
        <v>0</v>
      </c>
      <c r="Q637" s="184">
        <v>0</v>
      </c>
      <c r="R637" s="184">
        <v>0</v>
      </c>
      <c r="S637" s="184">
        <v>0</v>
      </c>
      <c r="T637" s="184">
        <v>0</v>
      </c>
      <c r="U637" s="184">
        <v>0</v>
      </c>
      <c r="V637" s="184">
        <v>1</v>
      </c>
      <c r="W637" s="184">
        <v>0</v>
      </c>
      <c r="X637" s="184">
        <v>0</v>
      </c>
      <c r="Y637" s="184">
        <v>0</v>
      </c>
      <c r="Z637" s="184">
        <v>1</v>
      </c>
      <c r="AA637" s="184">
        <v>0</v>
      </c>
      <c r="AB637" s="184">
        <v>0</v>
      </c>
      <c r="AC637" s="185">
        <v>57.2</v>
      </c>
      <c r="AD637" s="185" t="s">
        <v>24</v>
      </c>
      <c r="AE637" s="184">
        <v>1</v>
      </c>
      <c r="AF637" s="185">
        <v>50</v>
      </c>
      <c r="AG637" s="184">
        <v>1</v>
      </c>
      <c r="AH637" s="185">
        <v>50</v>
      </c>
      <c r="AI637" s="184">
        <v>1</v>
      </c>
      <c r="AJ637" s="643">
        <v>50</v>
      </c>
    </row>
    <row r="638" spans="1:36" x14ac:dyDescent="0.2">
      <c r="A638" s="190" t="s">
        <v>76</v>
      </c>
      <c r="B638" s="642">
        <v>2</v>
      </c>
      <c r="C638" s="184">
        <v>0</v>
      </c>
      <c r="D638" s="184">
        <v>2</v>
      </c>
      <c r="E638" s="184">
        <v>0</v>
      </c>
      <c r="F638" s="184">
        <v>0</v>
      </c>
      <c r="G638" s="184">
        <v>0</v>
      </c>
      <c r="H638" s="184">
        <v>0</v>
      </c>
      <c r="I638" s="184">
        <v>0</v>
      </c>
      <c r="J638" s="184">
        <v>0</v>
      </c>
      <c r="K638" s="184">
        <v>0</v>
      </c>
      <c r="L638" s="184">
        <v>0</v>
      </c>
      <c r="M638" s="654" t="s">
        <v>24</v>
      </c>
      <c r="N638" s="669" t="s">
        <v>76</v>
      </c>
      <c r="O638" s="642">
        <v>0</v>
      </c>
      <c r="P638" s="184">
        <v>0</v>
      </c>
      <c r="Q638" s="184">
        <v>0</v>
      </c>
      <c r="R638" s="184">
        <v>0</v>
      </c>
      <c r="S638" s="184">
        <v>0</v>
      </c>
      <c r="T638" s="184">
        <v>0</v>
      </c>
      <c r="U638" s="184">
        <v>0</v>
      </c>
      <c r="V638" s="184">
        <v>0</v>
      </c>
      <c r="W638" s="184">
        <v>1</v>
      </c>
      <c r="X638" s="184">
        <v>1</v>
      </c>
      <c r="Y638" s="184">
        <v>0</v>
      </c>
      <c r="Z638" s="184">
        <v>0</v>
      </c>
      <c r="AA638" s="184">
        <v>0</v>
      </c>
      <c r="AB638" s="184">
        <v>0</v>
      </c>
      <c r="AC638" s="185">
        <v>49.6</v>
      </c>
      <c r="AD638" s="185" t="s">
        <v>24</v>
      </c>
      <c r="AE638" s="184">
        <v>0</v>
      </c>
      <c r="AF638" s="185">
        <v>0</v>
      </c>
      <c r="AG638" s="184">
        <v>0</v>
      </c>
      <c r="AH638" s="185">
        <v>0</v>
      </c>
      <c r="AI638" s="184">
        <v>0</v>
      </c>
      <c r="AJ638" s="643">
        <v>0</v>
      </c>
    </row>
    <row r="639" spans="1:36" x14ac:dyDescent="0.2">
      <c r="A639" s="190" t="s">
        <v>127</v>
      </c>
      <c r="B639" s="642">
        <v>3</v>
      </c>
      <c r="C639" s="184">
        <v>0</v>
      </c>
      <c r="D639" s="184">
        <v>3</v>
      </c>
      <c r="E639" s="184">
        <v>0</v>
      </c>
      <c r="F639" s="184">
        <v>0</v>
      </c>
      <c r="G639" s="184">
        <v>0</v>
      </c>
      <c r="H639" s="184">
        <v>0</v>
      </c>
      <c r="I639" s="184">
        <v>0</v>
      </c>
      <c r="J639" s="184">
        <v>0</v>
      </c>
      <c r="K639" s="184">
        <v>0</v>
      </c>
      <c r="L639" s="184">
        <v>0</v>
      </c>
      <c r="M639" s="654" t="s">
        <v>24</v>
      </c>
      <c r="N639" s="669" t="s">
        <v>127</v>
      </c>
      <c r="O639" s="642">
        <v>0</v>
      </c>
      <c r="P639" s="184">
        <v>0</v>
      </c>
      <c r="Q639" s="184">
        <v>0</v>
      </c>
      <c r="R639" s="184">
        <v>0</v>
      </c>
      <c r="S639" s="184">
        <v>0</v>
      </c>
      <c r="T639" s="184">
        <v>0</v>
      </c>
      <c r="U639" s="184">
        <v>0</v>
      </c>
      <c r="V639" s="184">
        <v>2</v>
      </c>
      <c r="W639" s="184">
        <v>0</v>
      </c>
      <c r="X639" s="184">
        <v>1</v>
      </c>
      <c r="Y639" s="184">
        <v>0</v>
      </c>
      <c r="Z639" s="184">
        <v>0</v>
      </c>
      <c r="AA639" s="184">
        <v>0</v>
      </c>
      <c r="AB639" s="184">
        <v>0</v>
      </c>
      <c r="AC639" s="185">
        <v>44.4</v>
      </c>
      <c r="AD639" s="185" t="s">
        <v>24</v>
      </c>
      <c r="AE639" s="184">
        <v>0</v>
      </c>
      <c r="AF639" s="185">
        <v>0</v>
      </c>
      <c r="AG639" s="184">
        <v>0</v>
      </c>
      <c r="AH639" s="185">
        <v>0</v>
      </c>
      <c r="AI639" s="184">
        <v>0</v>
      </c>
      <c r="AJ639" s="643">
        <v>0</v>
      </c>
    </row>
    <row r="640" spans="1:36" x14ac:dyDescent="0.2">
      <c r="A640" s="190" t="s">
        <v>128</v>
      </c>
      <c r="B640" s="642">
        <v>0</v>
      </c>
      <c r="C640" s="184">
        <v>0</v>
      </c>
      <c r="D640" s="184">
        <v>0</v>
      </c>
      <c r="E640" s="184">
        <v>0</v>
      </c>
      <c r="F640" s="184">
        <v>0</v>
      </c>
      <c r="G640" s="184">
        <v>0</v>
      </c>
      <c r="H640" s="184">
        <v>0</v>
      </c>
      <c r="I640" s="184">
        <v>0</v>
      </c>
      <c r="J640" s="184">
        <v>0</v>
      </c>
      <c r="K640" s="184">
        <v>0</v>
      </c>
      <c r="L640" s="184">
        <v>0</v>
      </c>
      <c r="M640" s="654" t="s">
        <v>24</v>
      </c>
      <c r="N640" s="669" t="s">
        <v>128</v>
      </c>
      <c r="O640" s="642">
        <v>0</v>
      </c>
      <c r="P640" s="184">
        <v>0</v>
      </c>
      <c r="Q640" s="184">
        <v>0</v>
      </c>
      <c r="R640" s="184">
        <v>0</v>
      </c>
      <c r="S640" s="184">
        <v>0</v>
      </c>
      <c r="T640" s="184">
        <v>0</v>
      </c>
      <c r="U640" s="184">
        <v>0</v>
      </c>
      <c r="V640" s="184">
        <v>0</v>
      </c>
      <c r="W640" s="184">
        <v>0</v>
      </c>
      <c r="X640" s="184">
        <v>0</v>
      </c>
      <c r="Y640" s="184">
        <v>0</v>
      </c>
      <c r="Z640" s="184">
        <v>0</v>
      </c>
      <c r="AA640" s="184">
        <v>0</v>
      </c>
      <c r="AB640" s="184">
        <v>0</v>
      </c>
      <c r="AC640" s="185" t="s">
        <v>24</v>
      </c>
      <c r="AD640" s="185" t="s">
        <v>24</v>
      </c>
      <c r="AE640" s="184">
        <v>0</v>
      </c>
      <c r="AF640" s="185">
        <v>0</v>
      </c>
      <c r="AG640" s="184">
        <v>0</v>
      </c>
      <c r="AH640" s="185">
        <v>0</v>
      </c>
      <c r="AI640" s="184">
        <v>0</v>
      </c>
      <c r="AJ640" s="643">
        <v>0</v>
      </c>
    </row>
    <row r="641" spans="1:36" x14ac:dyDescent="0.2">
      <c r="A641" s="190" t="s">
        <v>129</v>
      </c>
      <c r="B641" s="642">
        <v>0</v>
      </c>
      <c r="C641" s="184">
        <v>0</v>
      </c>
      <c r="D641" s="184">
        <v>0</v>
      </c>
      <c r="E641" s="184">
        <v>0</v>
      </c>
      <c r="F641" s="184">
        <v>0</v>
      </c>
      <c r="G641" s="184">
        <v>0</v>
      </c>
      <c r="H641" s="184">
        <v>0</v>
      </c>
      <c r="I641" s="184">
        <v>0</v>
      </c>
      <c r="J641" s="184">
        <v>0</v>
      </c>
      <c r="K641" s="184">
        <v>0</v>
      </c>
      <c r="L641" s="184">
        <v>0</v>
      </c>
      <c r="M641" s="654" t="s">
        <v>24</v>
      </c>
      <c r="N641" s="669" t="s">
        <v>129</v>
      </c>
      <c r="O641" s="642">
        <v>0</v>
      </c>
      <c r="P641" s="184">
        <v>0</v>
      </c>
      <c r="Q641" s="184">
        <v>0</v>
      </c>
      <c r="R641" s="184">
        <v>0</v>
      </c>
      <c r="S641" s="184">
        <v>0</v>
      </c>
      <c r="T641" s="184">
        <v>0</v>
      </c>
      <c r="U641" s="184">
        <v>0</v>
      </c>
      <c r="V641" s="184">
        <v>0</v>
      </c>
      <c r="W641" s="184">
        <v>0</v>
      </c>
      <c r="X641" s="184">
        <v>0</v>
      </c>
      <c r="Y641" s="184">
        <v>0</v>
      </c>
      <c r="Z641" s="184">
        <v>0</v>
      </c>
      <c r="AA641" s="184">
        <v>0</v>
      </c>
      <c r="AB641" s="184">
        <v>0</v>
      </c>
      <c r="AC641" s="185" t="s">
        <v>24</v>
      </c>
      <c r="AD641" s="185" t="s">
        <v>24</v>
      </c>
      <c r="AE641" s="184">
        <v>0</v>
      </c>
      <c r="AF641" s="185">
        <v>0</v>
      </c>
      <c r="AG641" s="184">
        <v>0</v>
      </c>
      <c r="AH641" s="185">
        <v>0</v>
      </c>
      <c r="AI641" s="184">
        <v>0</v>
      </c>
      <c r="AJ641" s="643">
        <v>0</v>
      </c>
    </row>
    <row r="642" spans="1:36" x14ac:dyDescent="0.2">
      <c r="A642" s="190" t="s">
        <v>78</v>
      </c>
      <c r="B642" s="642">
        <v>1</v>
      </c>
      <c r="C642" s="184">
        <v>0</v>
      </c>
      <c r="D642" s="184">
        <v>1</v>
      </c>
      <c r="E642" s="184">
        <v>0</v>
      </c>
      <c r="F642" s="184">
        <v>0</v>
      </c>
      <c r="G642" s="184">
        <v>0</v>
      </c>
      <c r="H642" s="184">
        <v>0</v>
      </c>
      <c r="I642" s="184">
        <v>0</v>
      </c>
      <c r="J642" s="184">
        <v>0</v>
      </c>
      <c r="K642" s="184">
        <v>0</v>
      </c>
      <c r="L642" s="184">
        <v>0</v>
      </c>
      <c r="M642" s="654" t="s">
        <v>24</v>
      </c>
      <c r="N642" s="669" t="s">
        <v>78</v>
      </c>
      <c r="O642" s="642">
        <v>0</v>
      </c>
      <c r="P642" s="184">
        <v>0</v>
      </c>
      <c r="Q642" s="184">
        <v>0</v>
      </c>
      <c r="R642" s="184">
        <v>0</v>
      </c>
      <c r="S642" s="184">
        <v>0</v>
      </c>
      <c r="T642" s="184">
        <v>0</v>
      </c>
      <c r="U642" s="184">
        <v>0</v>
      </c>
      <c r="V642" s="184">
        <v>0</v>
      </c>
      <c r="W642" s="184">
        <v>0</v>
      </c>
      <c r="X642" s="184">
        <v>1</v>
      </c>
      <c r="Y642" s="184">
        <v>0</v>
      </c>
      <c r="Z642" s="184">
        <v>0</v>
      </c>
      <c r="AA642" s="184">
        <v>0</v>
      </c>
      <c r="AB642" s="184">
        <v>0</v>
      </c>
      <c r="AC642" s="185">
        <v>50.1</v>
      </c>
      <c r="AD642" s="185" t="s">
        <v>24</v>
      </c>
      <c r="AE642" s="184">
        <v>0</v>
      </c>
      <c r="AF642" s="185">
        <v>0</v>
      </c>
      <c r="AG642" s="184">
        <v>0</v>
      </c>
      <c r="AH642" s="185">
        <v>0</v>
      </c>
      <c r="AI642" s="184">
        <v>0</v>
      </c>
      <c r="AJ642" s="643">
        <v>0</v>
      </c>
    </row>
    <row r="643" spans="1:36" x14ac:dyDescent="0.2">
      <c r="A643" s="190" t="s">
        <v>130</v>
      </c>
      <c r="B643" s="642">
        <v>0</v>
      </c>
      <c r="C643" s="184">
        <v>0</v>
      </c>
      <c r="D643" s="184">
        <v>0</v>
      </c>
      <c r="E643" s="184">
        <v>0</v>
      </c>
      <c r="F643" s="184">
        <v>0</v>
      </c>
      <c r="G643" s="184">
        <v>0</v>
      </c>
      <c r="H643" s="184">
        <v>0</v>
      </c>
      <c r="I643" s="184">
        <v>0</v>
      </c>
      <c r="J643" s="184">
        <v>0</v>
      </c>
      <c r="K643" s="184">
        <v>0</v>
      </c>
      <c r="L643" s="184">
        <v>0</v>
      </c>
      <c r="M643" s="654" t="s">
        <v>24</v>
      </c>
      <c r="N643" s="669" t="s">
        <v>130</v>
      </c>
      <c r="O643" s="642">
        <v>0</v>
      </c>
      <c r="P643" s="184">
        <v>0</v>
      </c>
      <c r="Q643" s="184">
        <v>0</v>
      </c>
      <c r="R643" s="184">
        <v>0</v>
      </c>
      <c r="S643" s="184">
        <v>0</v>
      </c>
      <c r="T643" s="184">
        <v>0</v>
      </c>
      <c r="U643" s="184">
        <v>0</v>
      </c>
      <c r="V643" s="184">
        <v>0</v>
      </c>
      <c r="W643" s="184">
        <v>0</v>
      </c>
      <c r="X643" s="184">
        <v>0</v>
      </c>
      <c r="Y643" s="184">
        <v>0</v>
      </c>
      <c r="Z643" s="184">
        <v>0</v>
      </c>
      <c r="AA643" s="184">
        <v>0</v>
      </c>
      <c r="AB643" s="184">
        <v>0</v>
      </c>
      <c r="AC643" s="185" t="s">
        <v>24</v>
      </c>
      <c r="AD643" s="185" t="s">
        <v>24</v>
      </c>
      <c r="AE643" s="184">
        <v>0</v>
      </c>
      <c r="AF643" s="185">
        <v>0</v>
      </c>
      <c r="AG643" s="184">
        <v>0</v>
      </c>
      <c r="AH643" s="185">
        <v>0</v>
      </c>
      <c r="AI643" s="184">
        <v>0</v>
      </c>
      <c r="AJ643" s="643">
        <v>0</v>
      </c>
    </row>
    <row r="644" spans="1:36" x14ac:dyDescent="0.2">
      <c r="A644" s="190" t="s">
        <v>131</v>
      </c>
      <c r="B644" s="642">
        <v>0</v>
      </c>
      <c r="C644" s="184">
        <v>0</v>
      </c>
      <c r="D644" s="184">
        <v>0</v>
      </c>
      <c r="E644" s="184">
        <v>0</v>
      </c>
      <c r="F644" s="184">
        <v>0</v>
      </c>
      <c r="G644" s="184">
        <v>0</v>
      </c>
      <c r="H644" s="184">
        <v>0</v>
      </c>
      <c r="I644" s="184">
        <v>0</v>
      </c>
      <c r="J644" s="184">
        <v>0</v>
      </c>
      <c r="K644" s="184">
        <v>0</v>
      </c>
      <c r="L644" s="184">
        <v>0</v>
      </c>
      <c r="M644" s="654" t="s">
        <v>24</v>
      </c>
      <c r="N644" s="669" t="s">
        <v>131</v>
      </c>
      <c r="O644" s="642">
        <v>0</v>
      </c>
      <c r="P644" s="184">
        <v>0</v>
      </c>
      <c r="Q644" s="184">
        <v>0</v>
      </c>
      <c r="R644" s="184">
        <v>0</v>
      </c>
      <c r="S644" s="184">
        <v>0</v>
      </c>
      <c r="T644" s="184">
        <v>0</v>
      </c>
      <c r="U644" s="184">
        <v>0</v>
      </c>
      <c r="V644" s="184">
        <v>0</v>
      </c>
      <c r="W644" s="184">
        <v>0</v>
      </c>
      <c r="X644" s="184">
        <v>0</v>
      </c>
      <c r="Y644" s="184">
        <v>0</v>
      </c>
      <c r="Z644" s="184">
        <v>0</v>
      </c>
      <c r="AA644" s="184">
        <v>0</v>
      </c>
      <c r="AB644" s="184">
        <v>0</v>
      </c>
      <c r="AC644" s="185" t="s">
        <v>24</v>
      </c>
      <c r="AD644" s="185" t="s">
        <v>24</v>
      </c>
      <c r="AE644" s="184">
        <v>0</v>
      </c>
      <c r="AF644" s="185">
        <v>0</v>
      </c>
      <c r="AG644" s="184">
        <v>0</v>
      </c>
      <c r="AH644" s="185">
        <v>0</v>
      </c>
      <c r="AI644" s="184">
        <v>0</v>
      </c>
      <c r="AJ644" s="643">
        <v>0</v>
      </c>
    </row>
    <row r="645" spans="1:36" x14ac:dyDescent="0.2">
      <c r="A645" s="190" t="s">
        <v>132</v>
      </c>
      <c r="B645" s="648">
        <v>1</v>
      </c>
      <c r="C645" s="649">
        <v>0</v>
      </c>
      <c r="D645" s="649">
        <v>1</v>
      </c>
      <c r="E645" s="649">
        <v>0</v>
      </c>
      <c r="F645" s="649">
        <v>0</v>
      </c>
      <c r="G645" s="649">
        <v>0</v>
      </c>
      <c r="H645" s="649">
        <v>0</v>
      </c>
      <c r="I645" s="649">
        <v>0</v>
      </c>
      <c r="J645" s="649">
        <v>0</v>
      </c>
      <c r="K645" s="649">
        <v>0</v>
      </c>
      <c r="L645" s="649">
        <v>0</v>
      </c>
      <c r="M645" s="657" t="s">
        <v>24</v>
      </c>
      <c r="N645" s="669" t="s">
        <v>132</v>
      </c>
      <c r="O645" s="648">
        <v>0</v>
      </c>
      <c r="P645" s="649">
        <v>0</v>
      </c>
      <c r="Q645" s="649">
        <v>0</v>
      </c>
      <c r="R645" s="649">
        <v>0</v>
      </c>
      <c r="S645" s="649">
        <v>0</v>
      </c>
      <c r="T645" s="649">
        <v>0</v>
      </c>
      <c r="U645" s="649">
        <v>0</v>
      </c>
      <c r="V645" s="649">
        <v>1</v>
      </c>
      <c r="W645" s="649">
        <v>0</v>
      </c>
      <c r="X645" s="649">
        <v>0</v>
      </c>
      <c r="Y645" s="649">
        <v>0</v>
      </c>
      <c r="Z645" s="649">
        <v>0</v>
      </c>
      <c r="AA645" s="649">
        <v>0</v>
      </c>
      <c r="AB645" s="649">
        <v>0</v>
      </c>
      <c r="AC645" s="650">
        <v>44.2</v>
      </c>
      <c r="AD645" s="650" t="s">
        <v>24</v>
      </c>
      <c r="AE645" s="649">
        <v>0</v>
      </c>
      <c r="AF645" s="650">
        <v>0</v>
      </c>
      <c r="AG645" s="649">
        <v>0</v>
      </c>
      <c r="AH645" s="650">
        <v>0</v>
      </c>
      <c r="AI645" s="649">
        <v>0</v>
      </c>
      <c r="AJ645" s="651">
        <v>0</v>
      </c>
    </row>
    <row r="646" spans="1:36" x14ac:dyDescent="0.2">
      <c r="A646" s="190" t="s">
        <v>133</v>
      </c>
      <c r="B646" s="590">
        <v>485</v>
      </c>
      <c r="C646" s="591">
        <v>10</v>
      </c>
      <c r="D646" s="591">
        <v>453</v>
      </c>
      <c r="E646" s="591">
        <v>2</v>
      </c>
      <c r="F646" s="591">
        <v>18</v>
      </c>
      <c r="G646" s="591">
        <v>0</v>
      </c>
      <c r="H646" s="591">
        <v>0</v>
      </c>
      <c r="I646" s="591">
        <v>0</v>
      </c>
      <c r="J646" s="591">
        <v>1</v>
      </c>
      <c r="K646" s="591">
        <v>1</v>
      </c>
      <c r="L646" s="591">
        <v>0</v>
      </c>
      <c r="M646" s="592" t="s">
        <v>24</v>
      </c>
      <c r="N646" s="584" t="s">
        <v>133</v>
      </c>
      <c r="O646" s="590">
        <v>0</v>
      </c>
      <c r="P646" s="591">
        <v>0</v>
      </c>
      <c r="Q646" s="591">
        <v>4</v>
      </c>
      <c r="R646" s="591">
        <v>13</v>
      </c>
      <c r="S646" s="591">
        <v>38</v>
      </c>
      <c r="T646" s="591">
        <v>95</v>
      </c>
      <c r="U646" s="591">
        <v>126</v>
      </c>
      <c r="V646" s="591">
        <v>114</v>
      </c>
      <c r="W646" s="591">
        <v>54</v>
      </c>
      <c r="X646" s="591">
        <v>37</v>
      </c>
      <c r="Y646" s="591">
        <v>4</v>
      </c>
      <c r="Z646" s="591">
        <v>0</v>
      </c>
      <c r="AA646" s="591">
        <v>0</v>
      </c>
      <c r="AB646" s="591">
        <v>0</v>
      </c>
      <c r="AC646" s="606">
        <v>39.381250000000001</v>
      </c>
      <c r="AD646" s="606">
        <v>46.279999999999994</v>
      </c>
      <c r="AE646" s="591">
        <v>4</v>
      </c>
      <c r="AF646" s="606">
        <v>0.89769027269027257</v>
      </c>
      <c r="AG646" s="591">
        <v>0</v>
      </c>
      <c r="AH646" s="606">
        <v>0</v>
      </c>
      <c r="AI646" s="591">
        <v>0</v>
      </c>
      <c r="AJ646" s="607">
        <v>0</v>
      </c>
    </row>
    <row r="647" spans="1:36" x14ac:dyDescent="0.2">
      <c r="A647" s="190" t="s">
        <v>134</v>
      </c>
      <c r="B647" s="593">
        <v>548</v>
      </c>
      <c r="C647" s="181">
        <v>12</v>
      </c>
      <c r="D647" s="181">
        <v>509</v>
      </c>
      <c r="E647" s="181">
        <v>4</v>
      </c>
      <c r="F647" s="181">
        <v>21</v>
      </c>
      <c r="G647" s="181">
        <v>0</v>
      </c>
      <c r="H647" s="181">
        <v>0</v>
      </c>
      <c r="I647" s="181">
        <v>0</v>
      </c>
      <c r="J647" s="181">
        <v>1</v>
      </c>
      <c r="K647" s="181">
        <v>1</v>
      </c>
      <c r="L647" s="181">
        <v>0</v>
      </c>
      <c r="M647" s="594" t="s">
        <v>24</v>
      </c>
      <c r="N647" s="585" t="s">
        <v>134</v>
      </c>
      <c r="O647" s="593">
        <v>0</v>
      </c>
      <c r="P647" s="181">
        <v>0</v>
      </c>
      <c r="Q647" s="181">
        <v>5</v>
      </c>
      <c r="R647" s="181">
        <v>14</v>
      </c>
      <c r="S647" s="181">
        <v>39</v>
      </c>
      <c r="T647" s="181">
        <v>98</v>
      </c>
      <c r="U647" s="181">
        <v>143</v>
      </c>
      <c r="V647" s="181">
        <v>127</v>
      </c>
      <c r="W647" s="181">
        <v>70</v>
      </c>
      <c r="X647" s="181">
        <v>44</v>
      </c>
      <c r="Y647" s="181">
        <v>7</v>
      </c>
      <c r="Z647" s="181">
        <v>1</v>
      </c>
      <c r="AA647" s="181">
        <v>0</v>
      </c>
      <c r="AB647" s="181">
        <v>0</v>
      </c>
      <c r="AC647" s="182">
        <v>40.508064516129039</v>
      </c>
      <c r="AD647" s="182">
        <v>46.279999999999994</v>
      </c>
      <c r="AE647" s="181">
        <v>8</v>
      </c>
      <c r="AF647" s="182">
        <v>2.4093788156288154</v>
      </c>
      <c r="AG647" s="181">
        <v>1</v>
      </c>
      <c r="AH647" s="182">
        <v>0.78125</v>
      </c>
      <c r="AI647" s="181">
        <v>1</v>
      </c>
      <c r="AJ647" s="608">
        <v>0.78125</v>
      </c>
    </row>
    <row r="648" spans="1:36" x14ac:dyDescent="0.2">
      <c r="A648" s="190" t="s">
        <v>135</v>
      </c>
      <c r="B648" s="593">
        <v>555</v>
      </c>
      <c r="C648" s="181">
        <v>12</v>
      </c>
      <c r="D648" s="181">
        <v>516</v>
      </c>
      <c r="E648" s="181">
        <v>4</v>
      </c>
      <c r="F648" s="181">
        <v>21</v>
      </c>
      <c r="G648" s="181">
        <v>0</v>
      </c>
      <c r="H648" s="181">
        <v>0</v>
      </c>
      <c r="I648" s="181">
        <v>0</v>
      </c>
      <c r="J648" s="181">
        <v>1</v>
      </c>
      <c r="K648" s="181">
        <v>1</v>
      </c>
      <c r="L648" s="181">
        <v>0</v>
      </c>
      <c r="M648" s="594" t="s">
        <v>24</v>
      </c>
      <c r="N648" s="585" t="s">
        <v>135</v>
      </c>
      <c r="O648" s="593">
        <v>0</v>
      </c>
      <c r="P648" s="181">
        <v>0</v>
      </c>
      <c r="Q648" s="181">
        <v>5</v>
      </c>
      <c r="R648" s="181">
        <v>14</v>
      </c>
      <c r="S648" s="181">
        <v>39</v>
      </c>
      <c r="T648" s="181">
        <v>98</v>
      </c>
      <c r="U648" s="181">
        <v>143</v>
      </c>
      <c r="V648" s="181">
        <v>130</v>
      </c>
      <c r="W648" s="181">
        <v>71</v>
      </c>
      <c r="X648" s="181">
        <v>47</v>
      </c>
      <c r="Y648" s="181">
        <v>7</v>
      </c>
      <c r="Z648" s="181">
        <v>1</v>
      </c>
      <c r="AA648" s="181">
        <v>0</v>
      </c>
      <c r="AB648" s="181">
        <v>0</v>
      </c>
      <c r="AC648" s="182">
        <v>40.906060606060606</v>
      </c>
      <c r="AD648" s="182">
        <v>46.279999999999994</v>
      </c>
      <c r="AE648" s="181">
        <v>8</v>
      </c>
      <c r="AF648" s="182">
        <v>2.1416700583367247</v>
      </c>
      <c r="AG648" s="181">
        <v>1</v>
      </c>
      <c r="AH648" s="182">
        <v>0.69444444444444442</v>
      </c>
      <c r="AI648" s="181">
        <v>1</v>
      </c>
      <c r="AJ648" s="608">
        <v>0.69444444444444442</v>
      </c>
    </row>
    <row r="649" spans="1:36" x14ac:dyDescent="0.2">
      <c r="A649" s="190" t="s">
        <v>136</v>
      </c>
      <c r="B649" s="595">
        <v>562</v>
      </c>
      <c r="C649" s="596">
        <v>12</v>
      </c>
      <c r="D649" s="596">
        <v>523</v>
      </c>
      <c r="E649" s="596">
        <v>4</v>
      </c>
      <c r="F649" s="596">
        <v>21</v>
      </c>
      <c r="G649" s="596">
        <v>0</v>
      </c>
      <c r="H649" s="596">
        <v>0</v>
      </c>
      <c r="I649" s="596">
        <v>0</v>
      </c>
      <c r="J649" s="596">
        <v>1</v>
      </c>
      <c r="K649" s="596">
        <v>1</v>
      </c>
      <c r="L649" s="596">
        <v>0</v>
      </c>
      <c r="M649" s="597" t="s">
        <v>24</v>
      </c>
      <c r="N649" s="586" t="s">
        <v>136</v>
      </c>
      <c r="O649" s="595">
        <v>0</v>
      </c>
      <c r="P649" s="596">
        <v>0</v>
      </c>
      <c r="Q649" s="596">
        <v>5</v>
      </c>
      <c r="R649" s="596">
        <v>14</v>
      </c>
      <c r="S649" s="596">
        <v>40</v>
      </c>
      <c r="T649" s="596">
        <v>98</v>
      </c>
      <c r="U649" s="596">
        <v>144</v>
      </c>
      <c r="V649" s="596">
        <v>131</v>
      </c>
      <c r="W649" s="596">
        <v>74</v>
      </c>
      <c r="X649" s="596">
        <v>48</v>
      </c>
      <c r="Y649" s="596">
        <v>7</v>
      </c>
      <c r="Z649" s="596">
        <v>1</v>
      </c>
      <c r="AA649" s="596">
        <v>0</v>
      </c>
      <c r="AB649" s="596">
        <v>0</v>
      </c>
      <c r="AC649" s="609">
        <v>41.111111111111107</v>
      </c>
      <c r="AD649" s="609">
        <v>46.279999999999994</v>
      </c>
      <c r="AE649" s="596">
        <v>8</v>
      </c>
      <c r="AF649" s="609">
        <v>1.6062525437525437</v>
      </c>
      <c r="AG649" s="596">
        <v>1</v>
      </c>
      <c r="AH649" s="609">
        <v>0.52083333333333337</v>
      </c>
      <c r="AI649" s="596">
        <v>1</v>
      </c>
      <c r="AJ649" s="610">
        <v>0.52083333333333337</v>
      </c>
    </row>
    <row r="650" spans="1:36" x14ac:dyDescent="0.2">
      <c r="A650" s="190"/>
      <c r="B650" s="660"/>
      <c r="C650" s="661"/>
      <c r="D650" s="661"/>
      <c r="E650" s="661"/>
      <c r="F650" s="661"/>
      <c r="G650" s="661"/>
      <c r="H650" s="661"/>
      <c r="I650" s="661"/>
      <c r="J650" s="661"/>
      <c r="K650" s="661"/>
      <c r="L650" s="661"/>
      <c r="M650" s="661"/>
      <c r="N650" s="662"/>
      <c r="O650" s="661"/>
      <c r="P650" s="661"/>
      <c r="Q650" s="661"/>
      <c r="R650" s="661"/>
      <c r="S650" s="661"/>
      <c r="T650" s="661"/>
      <c r="U650" s="661"/>
      <c r="V650" s="661"/>
      <c r="W650" s="661"/>
      <c r="X650" s="661"/>
      <c r="Y650" s="661"/>
      <c r="Z650" s="661"/>
      <c r="AA650" s="661"/>
      <c r="AB650" s="661"/>
      <c r="AC650" s="663"/>
      <c r="AD650" s="663"/>
      <c r="AE650" s="661"/>
      <c r="AF650" s="663"/>
      <c r="AG650" s="661"/>
      <c r="AH650" s="663"/>
      <c r="AI650" s="661"/>
      <c r="AJ650" s="663"/>
    </row>
    <row r="651" spans="1:36" x14ac:dyDescent="0.2">
      <c r="A651" s="190"/>
      <c r="B651" s="664"/>
      <c r="C651" s="169"/>
      <c r="D651" s="169"/>
      <c r="E651" s="169"/>
      <c r="F651" s="169"/>
      <c r="G651" s="169"/>
      <c r="H651" s="169"/>
      <c r="I651" s="169"/>
      <c r="J651" s="169"/>
      <c r="K651" s="169"/>
      <c r="L651" s="169"/>
      <c r="M651" s="169"/>
      <c r="N651" s="178"/>
      <c r="O651" s="169"/>
      <c r="P651" s="169"/>
      <c r="Q651" s="169"/>
      <c r="R651" s="169"/>
      <c r="S651" s="169"/>
      <c r="T651" s="169"/>
      <c r="U651" s="169"/>
      <c r="V651" s="169"/>
      <c r="W651" s="169"/>
      <c r="X651" s="169"/>
      <c r="Y651" s="169"/>
      <c r="Z651" s="169"/>
      <c r="AA651" s="169"/>
      <c r="AB651" s="169"/>
      <c r="AC651" s="177"/>
      <c r="AD651" s="177"/>
      <c r="AE651" s="169"/>
      <c r="AF651" s="177"/>
      <c r="AG651" s="169"/>
      <c r="AH651" s="177"/>
      <c r="AI651" s="169"/>
      <c r="AJ651" s="177"/>
    </row>
    <row r="652" spans="1:36" x14ac:dyDescent="0.2">
      <c r="A652" s="658">
        <f>A545+1</f>
        <v>43269</v>
      </c>
      <c r="B652" s="664"/>
      <c r="C652" s="169"/>
      <c r="D652" s="169"/>
      <c r="E652" s="169"/>
      <c r="F652" s="169"/>
      <c r="G652" s="169"/>
      <c r="H652" s="169"/>
      <c r="I652" s="169"/>
      <c r="J652" s="169"/>
      <c r="K652" s="169"/>
      <c r="L652" s="169"/>
      <c r="M652" s="169"/>
      <c r="N652" s="178"/>
      <c r="O652" s="169"/>
      <c r="P652" s="169"/>
      <c r="Q652" s="169"/>
      <c r="R652" s="169"/>
      <c r="S652" s="169"/>
      <c r="T652" s="169"/>
      <c r="U652" s="169"/>
      <c r="V652" s="169"/>
      <c r="W652" s="169"/>
      <c r="X652" s="169"/>
      <c r="Y652" s="169"/>
      <c r="Z652" s="169"/>
      <c r="AA652" s="169"/>
      <c r="AB652" s="169"/>
      <c r="AC652" s="177"/>
      <c r="AD652" s="177"/>
      <c r="AE652" s="169"/>
      <c r="AF652" s="177"/>
      <c r="AG652" s="169"/>
      <c r="AH652" s="177"/>
      <c r="AI652" s="169"/>
      <c r="AJ652" s="177"/>
    </row>
    <row r="653" spans="1:36" x14ac:dyDescent="0.2">
      <c r="A653" s="190"/>
      <c r="B653" s="665"/>
      <c r="C653" s="666"/>
      <c r="D653" s="666"/>
      <c r="E653" s="666"/>
      <c r="F653" s="666"/>
      <c r="G653" s="666"/>
      <c r="H653" s="666"/>
      <c r="I653" s="666"/>
      <c r="J653" s="666"/>
      <c r="K653" s="666"/>
      <c r="L653" s="666"/>
      <c r="M653" s="666"/>
      <c r="N653" s="667"/>
      <c r="O653" s="666"/>
      <c r="P653" s="666"/>
      <c r="Q653" s="666"/>
      <c r="R653" s="666"/>
      <c r="S653" s="666"/>
      <c r="T653" s="666"/>
      <c r="U653" s="666"/>
      <c r="V653" s="666"/>
      <c r="W653" s="666"/>
      <c r="X653" s="666"/>
      <c r="Y653" s="666"/>
      <c r="Z653" s="666"/>
      <c r="AA653" s="666"/>
      <c r="AB653" s="666"/>
      <c r="AC653" s="668"/>
      <c r="AD653" s="668"/>
      <c r="AE653" s="666"/>
      <c r="AF653" s="668"/>
      <c r="AG653" s="666"/>
      <c r="AH653" s="668"/>
      <c r="AI653" s="666"/>
      <c r="AJ653" s="668"/>
    </row>
    <row r="654" spans="1:36" x14ac:dyDescent="0.2">
      <c r="A654" s="565" t="s">
        <v>256</v>
      </c>
      <c r="B654" s="568" t="s">
        <v>0</v>
      </c>
      <c r="C654" s="569" t="s">
        <v>442</v>
      </c>
      <c r="D654" s="569" t="s">
        <v>215</v>
      </c>
      <c r="E654" s="569" t="s">
        <v>443</v>
      </c>
      <c r="F654" s="569" t="s">
        <v>444</v>
      </c>
      <c r="G654" s="569" t="s">
        <v>445</v>
      </c>
      <c r="H654" s="569" t="s">
        <v>446</v>
      </c>
      <c r="I654" s="569" t="s">
        <v>447</v>
      </c>
      <c r="J654" s="569" t="s">
        <v>448</v>
      </c>
      <c r="K654" s="569" t="s">
        <v>449</v>
      </c>
      <c r="L654" s="569" t="s">
        <v>450</v>
      </c>
      <c r="M654" s="570"/>
      <c r="N654" s="584" t="s">
        <v>11</v>
      </c>
      <c r="O654" s="568" t="s">
        <v>268</v>
      </c>
      <c r="P654" s="569" t="s">
        <v>269</v>
      </c>
      <c r="Q654" s="569" t="s">
        <v>270</v>
      </c>
      <c r="R654" s="569" t="s">
        <v>271</v>
      </c>
      <c r="S654" s="569" t="s">
        <v>272</v>
      </c>
      <c r="T654" s="569" t="s">
        <v>273</v>
      </c>
      <c r="U654" s="569" t="s">
        <v>274</v>
      </c>
      <c r="V654" s="569" t="s">
        <v>275</v>
      </c>
      <c r="W654" s="569" t="s">
        <v>276</v>
      </c>
      <c r="X654" s="569" t="s">
        <v>277</v>
      </c>
      <c r="Y654" s="569" t="s">
        <v>278</v>
      </c>
      <c r="Z654" s="569" t="s">
        <v>279</v>
      </c>
      <c r="AA654" s="569" t="s">
        <v>280</v>
      </c>
      <c r="AB654" s="569" t="s">
        <v>281</v>
      </c>
      <c r="AC654" s="620" t="s">
        <v>258</v>
      </c>
      <c r="AD654" s="620" t="s">
        <v>13</v>
      </c>
      <c r="AE654" s="569" t="s">
        <v>166</v>
      </c>
      <c r="AF654" s="620" t="s">
        <v>259</v>
      </c>
      <c r="AG654" s="621" t="s">
        <v>260</v>
      </c>
      <c r="AH654" s="622" t="s">
        <v>261</v>
      </c>
      <c r="AI654" s="621" t="s">
        <v>262</v>
      </c>
      <c r="AJ654" s="623" t="s">
        <v>263</v>
      </c>
    </row>
    <row r="655" spans="1:36" x14ac:dyDescent="0.2">
      <c r="A655" s="190" t="s">
        <v>24</v>
      </c>
      <c r="B655" s="571" t="s">
        <v>24</v>
      </c>
      <c r="C655" s="179" t="s">
        <v>25</v>
      </c>
      <c r="D655" s="179" t="s">
        <v>26</v>
      </c>
      <c r="E655" s="179" t="s">
        <v>27</v>
      </c>
      <c r="F655" s="179" t="s">
        <v>28</v>
      </c>
      <c r="G655" s="179" t="s">
        <v>29</v>
      </c>
      <c r="H655" s="179" t="s">
        <v>30</v>
      </c>
      <c r="I655" s="179" t="s">
        <v>31</v>
      </c>
      <c r="J655" s="179" t="s">
        <v>32</v>
      </c>
      <c r="K655" s="179" t="s">
        <v>33</v>
      </c>
      <c r="L655" s="179" t="s">
        <v>34</v>
      </c>
      <c r="M655" s="572" t="s">
        <v>24</v>
      </c>
      <c r="N655" s="585" t="s">
        <v>24</v>
      </c>
      <c r="O655" s="571" t="s">
        <v>451</v>
      </c>
      <c r="P655" s="179" t="s">
        <v>34</v>
      </c>
      <c r="Q655" s="179" t="s">
        <v>452</v>
      </c>
      <c r="R655" s="179" t="s">
        <v>453</v>
      </c>
      <c r="S655" s="179" t="s">
        <v>454</v>
      </c>
      <c r="T655" s="179" t="s">
        <v>455</v>
      </c>
      <c r="U655" s="179" t="s">
        <v>456</v>
      </c>
      <c r="V655" s="179" t="s">
        <v>457</v>
      </c>
      <c r="W655" s="179" t="s">
        <v>458</v>
      </c>
      <c r="X655" s="179" t="s">
        <v>459</v>
      </c>
      <c r="Y655" s="179" t="s">
        <v>460</v>
      </c>
      <c r="Z655" s="179" t="s">
        <v>461</v>
      </c>
      <c r="AA655" s="179" t="s">
        <v>462</v>
      </c>
      <c r="AB655" s="179" t="s">
        <v>463</v>
      </c>
      <c r="AC655" s="180"/>
      <c r="AD655" s="180">
        <v>0</v>
      </c>
      <c r="AE655" s="179">
        <v>60</v>
      </c>
      <c r="AF655" s="179">
        <v>60</v>
      </c>
      <c r="AG655" s="225">
        <v>65</v>
      </c>
      <c r="AH655" s="225">
        <v>65</v>
      </c>
      <c r="AI655" s="225">
        <v>75</v>
      </c>
      <c r="AJ655" s="624">
        <v>75</v>
      </c>
    </row>
    <row r="656" spans="1:36" ht="13.5" thickBot="1" x14ac:dyDescent="0.25">
      <c r="A656" s="190" t="s">
        <v>24</v>
      </c>
      <c r="B656" s="571" t="s">
        <v>24</v>
      </c>
      <c r="C656" s="574" t="s">
        <v>24</v>
      </c>
      <c r="D656" s="574" t="s">
        <v>24</v>
      </c>
      <c r="E656" s="574" t="s">
        <v>24</v>
      </c>
      <c r="F656" s="574" t="s">
        <v>24</v>
      </c>
      <c r="G656" s="574" t="s">
        <v>24</v>
      </c>
      <c r="H656" s="574" t="s">
        <v>24</v>
      </c>
      <c r="I656" s="574" t="s">
        <v>24</v>
      </c>
      <c r="J656" s="574" t="s">
        <v>24</v>
      </c>
      <c r="K656" s="574" t="s">
        <v>24</v>
      </c>
      <c r="L656" s="574" t="s">
        <v>24</v>
      </c>
      <c r="M656" s="575" t="s">
        <v>24</v>
      </c>
      <c r="N656" s="586" t="s">
        <v>24</v>
      </c>
      <c r="O656" s="573" t="s">
        <v>34</v>
      </c>
      <c r="P656" s="574" t="s">
        <v>452</v>
      </c>
      <c r="Q656" s="574" t="s">
        <v>453</v>
      </c>
      <c r="R656" s="574" t="s">
        <v>454</v>
      </c>
      <c r="S656" s="574" t="s">
        <v>455</v>
      </c>
      <c r="T656" s="574" t="s">
        <v>456</v>
      </c>
      <c r="U656" s="574" t="s">
        <v>457</v>
      </c>
      <c r="V656" s="574" t="s">
        <v>458</v>
      </c>
      <c r="W656" s="574" t="s">
        <v>459</v>
      </c>
      <c r="X656" s="574" t="s">
        <v>460</v>
      </c>
      <c r="Y656" s="574" t="s">
        <v>461</v>
      </c>
      <c r="Z656" s="574" t="s">
        <v>462</v>
      </c>
      <c r="AA656" s="574" t="s">
        <v>463</v>
      </c>
      <c r="AB656" s="574" t="s">
        <v>464</v>
      </c>
      <c r="AC656" s="625"/>
      <c r="AD656" s="625"/>
      <c r="AE656" s="574"/>
      <c r="AF656" s="625"/>
      <c r="AG656" s="626" t="s">
        <v>35</v>
      </c>
      <c r="AH656" s="627" t="s">
        <v>35</v>
      </c>
      <c r="AI656" s="626" t="s">
        <v>36</v>
      </c>
      <c r="AJ656" s="628" t="s">
        <v>36</v>
      </c>
    </row>
    <row r="657" spans="1:36" ht="13.5" thickBot="1" x14ac:dyDescent="0.25">
      <c r="A657" s="190" t="s">
        <v>37</v>
      </c>
      <c r="B657" s="691">
        <v>0</v>
      </c>
      <c r="C657" s="652">
        <v>0</v>
      </c>
      <c r="D657" s="639">
        <v>0</v>
      </c>
      <c r="E657" s="639">
        <v>0</v>
      </c>
      <c r="F657" s="639">
        <v>0</v>
      </c>
      <c r="G657" s="639">
        <v>0</v>
      </c>
      <c r="H657" s="639">
        <v>0</v>
      </c>
      <c r="I657" s="639">
        <v>0</v>
      </c>
      <c r="J657" s="639">
        <v>0</v>
      </c>
      <c r="K657" s="639">
        <v>0</v>
      </c>
      <c r="L657" s="639">
        <v>0</v>
      </c>
      <c r="M657" s="653" t="s">
        <v>24</v>
      </c>
      <c r="N657" s="584" t="s">
        <v>37</v>
      </c>
      <c r="O657" s="638">
        <v>0</v>
      </c>
      <c r="P657" s="639">
        <v>0</v>
      </c>
      <c r="Q657" s="639">
        <v>0</v>
      </c>
      <c r="R657" s="639">
        <v>0</v>
      </c>
      <c r="S657" s="639">
        <v>0</v>
      </c>
      <c r="T657" s="639">
        <v>0</v>
      </c>
      <c r="U657" s="639">
        <v>0</v>
      </c>
      <c r="V657" s="639">
        <v>0</v>
      </c>
      <c r="W657" s="639">
        <v>0</v>
      </c>
      <c r="X657" s="639">
        <v>0</v>
      </c>
      <c r="Y657" s="639">
        <v>0</v>
      </c>
      <c r="Z657" s="639">
        <v>0</v>
      </c>
      <c r="AA657" s="639">
        <v>0</v>
      </c>
      <c r="AB657" s="639">
        <v>0</v>
      </c>
      <c r="AC657" s="640" t="s">
        <v>24</v>
      </c>
      <c r="AD657" s="640" t="s">
        <v>24</v>
      </c>
      <c r="AE657" s="639">
        <v>0</v>
      </c>
      <c r="AF657" s="640">
        <v>0</v>
      </c>
      <c r="AG657" s="639">
        <v>0</v>
      </c>
      <c r="AH657" s="640">
        <v>0</v>
      </c>
      <c r="AI657" s="639">
        <v>0</v>
      </c>
      <c r="AJ657" s="641">
        <v>0</v>
      </c>
    </row>
    <row r="658" spans="1:36" x14ac:dyDescent="0.2">
      <c r="A658" s="190" t="s">
        <v>38</v>
      </c>
      <c r="B658" s="646">
        <v>0</v>
      </c>
      <c r="C658" s="184">
        <v>0</v>
      </c>
      <c r="D658" s="184">
        <v>0</v>
      </c>
      <c r="E658" s="184">
        <v>0</v>
      </c>
      <c r="F658" s="184">
        <v>0</v>
      </c>
      <c r="G658" s="184">
        <v>0</v>
      </c>
      <c r="H658" s="184">
        <v>0</v>
      </c>
      <c r="I658" s="184">
        <v>0</v>
      </c>
      <c r="J658" s="184">
        <v>0</v>
      </c>
      <c r="K658" s="184">
        <v>0</v>
      </c>
      <c r="L658" s="184">
        <v>0</v>
      </c>
      <c r="M658" s="654" t="s">
        <v>24</v>
      </c>
      <c r="N658" s="585" t="s">
        <v>38</v>
      </c>
      <c r="O658" s="642">
        <v>0</v>
      </c>
      <c r="P658" s="184">
        <v>0</v>
      </c>
      <c r="Q658" s="184">
        <v>0</v>
      </c>
      <c r="R658" s="184">
        <v>0</v>
      </c>
      <c r="S658" s="184">
        <v>0</v>
      </c>
      <c r="T658" s="184">
        <v>0</v>
      </c>
      <c r="U658" s="184">
        <v>0</v>
      </c>
      <c r="V658" s="184">
        <v>0</v>
      </c>
      <c r="W658" s="184">
        <v>0</v>
      </c>
      <c r="X658" s="184">
        <v>0</v>
      </c>
      <c r="Y658" s="184">
        <v>0</v>
      </c>
      <c r="Z658" s="184">
        <v>0</v>
      </c>
      <c r="AA658" s="184">
        <v>0</v>
      </c>
      <c r="AB658" s="184">
        <v>0</v>
      </c>
      <c r="AC658" s="185" t="s">
        <v>24</v>
      </c>
      <c r="AD658" s="185" t="s">
        <v>24</v>
      </c>
      <c r="AE658" s="184">
        <v>0</v>
      </c>
      <c r="AF658" s="185">
        <v>0</v>
      </c>
      <c r="AG658" s="184">
        <v>0</v>
      </c>
      <c r="AH658" s="185">
        <v>0</v>
      </c>
      <c r="AI658" s="184">
        <v>0</v>
      </c>
      <c r="AJ658" s="643">
        <v>0</v>
      </c>
    </row>
    <row r="659" spans="1:36" x14ac:dyDescent="0.2">
      <c r="A659" s="190" t="s">
        <v>40</v>
      </c>
      <c r="B659" s="642">
        <v>0</v>
      </c>
      <c r="C659" s="184">
        <v>0</v>
      </c>
      <c r="D659" s="184">
        <v>0</v>
      </c>
      <c r="E659" s="184">
        <v>0</v>
      </c>
      <c r="F659" s="184">
        <v>0</v>
      </c>
      <c r="G659" s="184">
        <v>0</v>
      </c>
      <c r="H659" s="184">
        <v>0</v>
      </c>
      <c r="I659" s="184">
        <v>0</v>
      </c>
      <c r="J659" s="184">
        <v>0</v>
      </c>
      <c r="K659" s="184">
        <v>0</v>
      </c>
      <c r="L659" s="184">
        <v>0</v>
      </c>
      <c r="M659" s="654" t="s">
        <v>24</v>
      </c>
      <c r="N659" s="585" t="s">
        <v>40</v>
      </c>
      <c r="O659" s="642">
        <v>0</v>
      </c>
      <c r="P659" s="184">
        <v>0</v>
      </c>
      <c r="Q659" s="184">
        <v>0</v>
      </c>
      <c r="R659" s="184">
        <v>0</v>
      </c>
      <c r="S659" s="184">
        <v>0</v>
      </c>
      <c r="T659" s="184">
        <v>0</v>
      </c>
      <c r="U659" s="184">
        <v>0</v>
      </c>
      <c r="V659" s="184">
        <v>0</v>
      </c>
      <c r="W659" s="184">
        <v>0</v>
      </c>
      <c r="X659" s="184">
        <v>0</v>
      </c>
      <c r="Y659" s="184">
        <v>0</v>
      </c>
      <c r="Z659" s="184">
        <v>0</v>
      </c>
      <c r="AA659" s="184">
        <v>0</v>
      </c>
      <c r="AB659" s="184">
        <v>0</v>
      </c>
      <c r="AC659" s="185" t="s">
        <v>24</v>
      </c>
      <c r="AD659" s="185" t="s">
        <v>24</v>
      </c>
      <c r="AE659" s="184">
        <v>0</v>
      </c>
      <c r="AF659" s="185">
        <v>0</v>
      </c>
      <c r="AG659" s="184">
        <v>0</v>
      </c>
      <c r="AH659" s="185">
        <v>0</v>
      </c>
      <c r="AI659" s="184">
        <v>0</v>
      </c>
      <c r="AJ659" s="643">
        <v>0</v>
      </c>
    </row>
    <row r="660" spans="1:36" x14ac:dyDescent="0.2">
      <c r="A660" s="190" t="s">
        <v>42</v>
      </c>
      <c r="B660" s="642">
        <v>0</v>
      </c>
      <c r="C660" s="184">
        <v>0</v>
      </c>
      <c r="D660" s="184">
        <v>0</v>
      </c>
      <c r="E660" s="184">
        <v>0</v>
      </c>
      <c r="F660" s="184">
        <v>0</v>
      </c>
      <c r="G660" s="184">
        <v>0</v>
      </c>
      <c r="H660" s="184">
        <v>0</v>
      </c>
      <c r="I660" s="184">
        <v>0</v>
      </c>
      <c r="J660" s="184">
        <v>0</v>
      </c>
      <c r="K660" s="184">
        <v>0</v>
      </c>
      <c r="L660" s="184">
        <v>0</v>
      </c>
      <c r="M660" s="654" t="s">
        <v>24</v>
      </c>
      <c r="N660" s="585" t="s">
        <v>42</v>
      </c>
      <c r="O660" s="642">
        <v>0</v>
      </c>
      <c r="P660" s="184">
        <v>0</v>
      </c>
      <c r="Q660" s="184">
        <v>0</v>
      </c>
      <c r="R660" s="184">
        <v>0</v>
      </c>
      <c r="S660" s="184">
        <v>0</v>
      </c>
      <c r="T660" s="184">
        <v>0</v>
      </c>
      <c r="U660" s="184">
        <v>0</v>
      </c>
      <c r="V660" s="184">
        <v>0</v>
      </c>
      <c r="W660" s="184">
        <v>0</v>
      </c>
      <c r="X660" s="184">
        <v>0</v>
      </c>
      <c r="Y660" s="184">
        <v>0</v>
      </c>
      <c r="Z660" s="184">
        <v>0</v>
      </c>
      <c r="AA660" s="184">
        <v>0</v>
      </c>
      <c r="AB660" s="184">
        <v>0</v>
      </c>
      <c r="AC660" s="185" t="s">
        <v>24</v>
      </c>
      <c r="AD660" s="185" t="s">
        <v>24</v>
      </c>
      <c r="AE660" s="184">
        <v>0</v>
      </c>
      <c r="AF660" s="185">
        <v>0</v>
      </c>
      <c r="AG660" s="184">
        <v>0</v>
      </c>
      <c r="AH660" s="185">
        <v>0</v>
      </c>
      <c r="AI660" s="184">
        <v>0</v>
      </c>
      <c r="AJ660" s="643">
        <v>0</v>
      </c>
    </row>
    <row r="661" spans="1:36" x14ac:dyDescent="0.2">
      <c r="A661" s="190" t="s">
        <v>39</v>
      </c>
      <c r="B661" s="642">
        <v>0</v>
      </c>
      <c r="C661" s="184">
        <v>0</v>
      </c>
      <c r="D661" s="184">
        <v>0</v>
      </c>
      <c r="E661" s="184">
        <v>0</v>
      </c>
      <c r="F661" s="184">
        <v>0</v>
      </c>
      <c r="G661" s="184">
        <v>0</v>
      </c>
      <c r="H661" s="184">
        <v>0</v>
      </c>
      <c r="I661" s="184">
        <v>0</v>
      </c>
      <c r="J661" s="184">
        <v>0</v>
      </c>
      <c r="K661" s="184">
        <v>0</v>
      </c>
      <c r="L661" s="184">
        <v>0</v>
      </c>
      <c r="M661" s="654" t="s">
        <v>24</v>
      </c>
      <c r="N661" s="585" t="s">
        <v>39</v>
      </c>
      <c r="O661" s="642">
        <v>0</v>
      </c>
      <c r="P661" s="184">
        <v>0</v>
      </c>
      <c r="Q661" s="184">
        <v>0</v>
      </c>
      <c r="R661" s="184">
        <v>0</v>
      </c>
      <c r="S661" s="184">
        <v>0</v>
      </c>
      <c r="T661" s="184">
        <v>0</v>
      </c>
      <c r="U661" s="184">
        <v>0</v>
      </c>
      <c r="V661" s="184">
        <v>0</v>
      </c>
      <c r="W661" s="184">
        <v>0</v>
      </c>
      <c r="X661" s="184">
        <v>0</v>
      </c>
      <c r="Y661" s="184">
        <v>0</v>
      </c>
      <c r="Z661" s="184">
        <v>0</v>
      </c>
      <c r="AA661" s="184">
        <v>0</v>
      </c>
      <c r="AB661" s="184">
        <v>0</v>
      </c>
      <c r="AC661" s="185" t="s">
        <v>24</v>
      </c>
      <c r="AD661" s="185" t="s">
        <v>24</v>
      </c>
      <c r="AE661" s="184">
        <v>0</v>
      </c>
      <c r="AF661" s="185">
        <v>0</v>
      </c>
      <c r="AG661" s="184">
        <v>0</v>
      </c>
      <c r="AH661" s="185">
        <v>0</v>
      </c>
      <c r="AI661" s="184">
        <v>0</v>
      </c>
      <c r="AJ661" s="643">
        <v>0</v>
      </c>
    </row>
    <row r="662" spans="1:36" x14ac:dyDescent="0.2">
      <c r="A662" s="190" t="s">
        <v>45</v>
      </c>
      <c r="B662" s="642">
        <v>0</v>
      </c>
      <c r="C662" s="184">
        <v>0</v>
      </c>
      <c r="D662" s="184">
        <v>0</v>
      </c>
      <c r="E662" s="184">
        <v>0</v>
      </c>
      <c r="F662" s="184">
        <v>0</v>
      </c>
      <c r="G662" s="184">
        <v>0</v>
      </c>
      <c r="H662" s="184">
        <v>0</v>
      </c>
      <c r="I662" s="184">
        <v>0</v>
      </c>
      <c r="J662" s="184">
        <v>0</v>
      </c>
      <c r="K662" s="184">
        <v>0</v>
      </c>
      <c r="L662" s="184">
        <v>0</v>
      </c>
      <c r="M662" s="654" t="s">
        <v>24</v>
      </c>
      <c r="N662" s="585" t="s">
        <v>45</v>
      </c>
      <c r="O662" s="642">
        <v>0</v>
      </c>
      <c r="P662" s="184">
        <v>0</v>
      </c>
      <c r="Q662" s="184">
        <v>0</v>
      </c>
      <c r="R662" s="184">
        <v>0</v>
      </c>
      <c r="S662" s="184">
        <v>0</v>
      </c>
      <c r="T662" s="184">
        <v>0</v>
      </c>
      <c r="U662" s="184">
        <v>0</v>
      </c>
      <c r="V662" s="184">
        <v>0</v>
      </c>
      <c r="W662" s="184">
        <v>0</v>
      </c>
      <c r="X662" s="184">
        <v>0</v>
      </c>
      <c r="Y662" s="184">
        <v>0</v>
      </c>
      <c r="Z662" s="184">
        <v>0</v>
      </c>
      <c r="AA662" s="184">
        <v>0</v>
      </c>
      <c r="AB662" s="184">
        <v>0</v>
      </c>
      <c r="AC662" s="185" t="s">
        <v>24</v>
      </c>
      <c r="AD662" s="185" t="s">
        <v>24</v>
      </c>
      <c r="AE662" s="184">
        <v>0</v>
      </c>
      <c r="AF662" s="185">
        <v>0</v>
      </c>
      <c r="AG662" s="184">
        <v>0</v>
      </c>
      <c r="AH662" s="185">
        <v>0</v>
      </c>
      <c r="AI662" s="184">
        <v>0</v>
      </c>
      <c r="AJ662" s="643">
        <v>0</v>
      </c>
    </row>
    <row r="663" spans="1:36" x14ac:dyDescent="0.2">
      <c r="A663" s="190" t="s">
        <v>47</v>
      </c>
      <c r="B663" s="642">
        <v>1</v>
      </c>
      <c r="C663" s="184">
        <v>0</v>
      </c>
      <c r="D663" s="184">
        <v>1</v>
      </c>
      <c r="E663" s="184">
        <v>0</v>
      </c>
      <c r="F663" s="184">
        <v>0</v>
      </c>
      <c r="G663" s="184">
        <v>0</v>
      </c>
      <c r="H663" s="184">
        <v>0</v>
      </c>
      <c r="I663" s="184">
        <v>0</v>
      </c>
      <c r="J663" s="184">
        <v>0</v>
      </c>
      <c r="K663" s="184">
        <v>0</v>
      </c>
      <c r="L663" s="184">
        <v>0</v>
      </c>
      <c r="M663" s="654" t="s">
        <v>24</v>
      </c>
      <c r="N663" s="585" t="s">
        <v>47</v>
      </c>
      <c r="O663" s="642">
        <v>0</v>
      </c>
      <c r="P663" s="184">
        <v>0</v>
      </c>
      <c r="Q663" s="184">
        <v>0</v>
      </c>
      <c r="R663" s="184">
        <v>0</v>
      </c>
      <c r="S663" s="184">
        <v>0</v>
      </c>
      <c r="T663" s="184">
        <v>0</v>
      </c>
      <c r="U663" s="184">
        <v>0</v>
      </c>
      <c r="V663" s="184">
        <v>1</v>
      </c>
      <c r="W663" s="184">
        <v>0</v>
      </c>
      <c r="X663" s="184">
        <v>0</v>
      </c>
      <c r="Y663" s="184">
        <v>0</v>
      </c>
      <c r="Z663" s="184">
        <v>0</v>
      </c>
      <c r="AA663" s="184">
        <v>0</v>
      </c>
      <c r="AB663" s="184">
        <v>0</v>
      </c>
      <c r="AC663" s="185">
        <v>41.4</v>
      </c>
      <c r="AD663" s="185" t="s">
        <v>24</v>
      </c>
      <c r="AE663" s="184">
        <v>0</v>
      </c>
      <c r="AF663" s="185">
        <v>0</v>
      </c>
      <c r="AG663" s="184">
        <v>0</v>
      </c>
      <c r="AH663" s="185">
        <v>0</v>
      </c>
      <c r="AI663" s="184">
        <v>0</v>
      </c>
      <c r="AJ663" s="643">
        <v>0</v>
      </c>
    </row>
    <row r="664" spans="1:36" x14ac:dyDescent="0.2">
      <c r="A664" s="190" t="s">
        <v>49</v>
      </c>
      <c r="B664" s="642">
        <v>0</v>
      </c>
      <c r="C664" s="184">
        <v>0</v>
      </c>
      <c r="D664" s="184">
        <v>0</v>
      </c>
      <c r="E664" s="184">
        <v>0</v>
      </c>
      <c r="F664" s="184">
        <v>0</v>
      </c>
      <c r="G664" s="184">
        <v>0</v>
      </c>
      <c r="H664" s="184">
        <v>0</v>
      </c>
      <c r="I664" s="184">
        <v>0</v>
      </c>
      <c r="J664" s="184">
        <v>0</v>
      </c>
      <c r="K664" s="184">
        <v>0</v>
      </c>
      <c r="L664" s="184">
        <v>0</v>
      </c>
      <c r="M664" s="654" t="s">
        <v>24</v>
      </c>
      <c r="N664" s="585" t="s">
        <v>49</v>
      </c>
      <c r="O664" s="642">
        <v>0</v>
      </c>
      <c r="P664" s="184">
        <v>0</v>
      </c>
      <c r="Q664" s="184">
        <v>0</v>
      </c>
      <c r="R664" s="184">
        <v>0</v>
      </c>
      <c r="S664" s="184">
        <v>0</v>
      </c>
      <c r="T664" s="184">
        <v>0</v>
      </c>
      <c r="U664" s="184">
        <v>0</v>
      </c>
      <c r="V664" s="184">
        <v>0</v>
      </c>
      <c r="W664" s="184">
        <v>0</v>
      </c>
      <c r="X664" s="184">
        <v>0</v>
      </c>
      <c r="Y664" s="184">
        <v>0</v>
      </c>
      <c r="Z664" s="184">
        <v>0</v>
      </c>
      <c r="AA664" s="184">
        <v>0</v>
      </c>
      <c r="AB664" s="184">
        <v>0</v>
      </c>
      <c r="AC664" s="185" t="s">
        <v>24</v>
      </c>
      <c r="AD664" s="185" t="s">
        <v>24</v>
      </c>
      <c r="AE664" s="184">
        <v>0</v>
      </c>
      <c r="AF664" s="185">
        <v>0</v>
      </c>
      <c r="AG664" s="184">
        <v>0</v>
      </c>
      <c r="AH664" s="185">
        <v>0</v>
      </c>
      <c r="AI664" s="184">
        <v>0</v>
      </c>
      <c r="AJ664" s="643">
        <v>0</v>
      </c>
    </row>
    <row r="665" spans="1:36" x14ac:dyDescent="0.2">
      <c r="A665" s="190" t="s">
        <v>41</v>
      </c>
      <c r="B665" s="642">
        <v>0</v>
      </c>
      <c r="C665" s="184">
        <v>0</v>
      </c>
      <c r="D665" s="184">
        <v>0</v>
      </c>
      <c r="E665" s="184">
        <v>0</v>
      </c>
      <c r="F665" s="184">
        <v>0</v>
      </c>
      <c r="G665" s="184">
        <v>0</v>
      </c>
      <c r="H665" s="184">
        <v>0</v>
      </c>
      <c r="I665" s="184">
        <v>0</v>
      </c>
      <c r="J665" s="184">
        <v>0</v>
      </c>
      <c r="K665" s="184">
        <v>0</v>
      </c>
      <c r="L665" s="184">
        <v>0</v>
      </c>
      <c r="M665" s="654" t="s">
        <v>24</v>
      </c>
      <c r="N665" s="585" t="s">
        <v>41</v>
      </c>
      <c r="O665" s="642">
        <v>0</v>
      </c>
      <c r="P665" s="184">
        <v>0</v>
      </c>
      <c r="Q665" s="184">
        <v>0</v>
      </c>
      <c r="R665" s="184">
        <v>0</v>
      </c>
      <c r="S665" s="184">
        <v>0</v>
      </c>
      <c r="T665" s="184">
        <v>0</v>
      </c>
      <c r="U665" s="184">
        <v>0</v>
      </c>
      <c r="V665" s="184">
        <v>0</v>
      </c>
      <c r="W665" s="184">
        <v>0</v>
      </c>
      <c r="X665" s="184">
        <v>0</v>
      </c>
      <c r="Y665" s="184">
        <v>0</v>
      </c>
      <c r="Z665" s="184">
        <v>0</v>
      </c>
      <c r="AA665" s="184">
        <v>0</v>
      </c>
      <c r="AB665" s="184">
        <v>0</v>
      </c>
      <c r="AC665" s="185" t="s">
        <v>24</v>
      </c>
      <c r="AD665" s="185" t="s">
        <v>24</v>
      </c>
      <c r="AE665" s="184">
        <v>0</v>
      </c>
      <c r="AF665" s="185">
        <v>0</v>
      </c>
      <c r="AG665" s="184">
        <v>0</v>
      </c>
      <c r="AH665" s="185">
        <v>0</v>
      </c>
      <c r="AI665" s="184">
        <v>0</v>
      </c>
      <c r="AJ665" s="643">
        <v>0</v>
      </c>
    </row>
    <row r="666" spans="1:36" x14ac:dyDescent="0.2">
      <c r="A666" s="190" t="s">
        <v>52</v>
      </c>
      <c r="B666" s="642">
        <v>0</v>
      </c>
      <c r="C666" s="184">
        <v>0</v>
      </c>
      <c r="D666" s="184">
        <v>0</v>
      </c>
      <c r="E666" s="184">
        <v>0</v>
      </c>
      <c r="F666" s="184">
        <v>0</v>
      </c>
      <c r="G666" s="184">
        <v>0</v>
      </c>
      <c r="H666" s="184">
        <v>0</v>
      </c>
      <c r="I666" s="184">
        <v>0</v>
      </c>
      <c r="J666" s="184">
        <v>0</v>
      </c>
      <c r="K666" s="184">
        <v>0</v>
      </c>
      <c r="L666" s="184">
        <v>0</v>
      </c>
      <c r="M666" s="654" t="s">
        <v>24</v>
      </c>
      <c r="N666" s="585" t="s">
        <v>52</v>
      </c>
      <c r="O666" s="642">
        <v>0</v>
      </c>
      <c r="P666" s="184">
        <v>0</v>
      </c>
      <c r="Q666" s="184">
        <v>0</v>
      </c>
      <c r="R666" s="184">
        <v>0</v>
      </c>
      <c r="S666" s="184">
        <v>0</v>
      </c>
      <c r="T666" s="184">
        <v>0</v>
      </c>
      <c r="U666" s="184">
        <v>0</v>
      </c>
      <c r="V666" s="184">
        <v>0</v>
      </c>
      <c r="W666" s="184">
        <v>0</v>
      </c>
      <c r="X666" s="184">
        <v>0</v>
      </c>
      <c r="Y666" s="184">
        <v>0</v>
      </c>
      <c r="Z666" s="184">
        <v>0</v>
      </c>
      <c r="AA666" s="184">
        <v>0</v>
      </c>
      <c r="AB666" s="184">
        <v>0</v>
      </c>
      <c r="AC666" s="185" t="s">
        <v>24</v>
      </c>
      <c r="AD666" s="185" t="s">
        <v>24</v>
      </c>
      <c r="AE666" s="184">
        <v>0</v>
      </c>
      <c r="AF666" s="185">
        <v>0</v>
      </c>
      <c r="AG666" s="184">
        <v>0</v>
      </c>
      <c r="AH666" s="185">
        <v>0</v>
      </c>
      <c r="AI666" s="184">
        <v>0</v>
      </c>
      <c r="AJ666" s="643">
        <v>0</v>
      </c>
    </row>
    <row r="667" spans="1:36" x14ac:dyDescent="0.2">
      <c r="A667" s="190" t="s">
        <v>54</v>
      </c>
      <c r="B667" s="642">
        <v>0</v>
      </c>
      <c r="C667" s="184">
        <v>0</v>
      </c>
      <c r="D667" s="184">
        <v>0</v>
      </c>
      <c r="E667" s="184">
        <v>0</v>
      </c>
      <c r="F667" s="184">
        <v>0</v>
      </c>
      <c r="G667" s="184">
        <v>0</v>
      </c>
      <c r="H667" s="184">
        <v>0</v>
      </c>
      <c r="I667" s="184">
        <v>0</v>
      </c>
      <c r="J667" s="184">
        <v>0</v>
      </c>
      <c r="K667" s="184">
        <v>0</v>
      </c>
      <c r="L667" s="184">
        <v>0</v>
      </c>
      <c r="M667" s="654" t="s">
        <v>24</v>
      </c>
      <c r="N667" s="585" t="s">
        <v>54</v>
      </c>
      <c r="O667" s="642">
        <v>0</v>
      </c>
      <c r="P667" s="184">
        <v>0</v>
      </c>
      <c r="Q667" s="184">
        <v>0</v>
      </c>
      <c r="R667" s="184">
        <v>0</v>
      </c>
      <c r="S667" s="184">
        <v>0</v>
      </c>
      <c r="T667" s="184">
        <v>0</v>
      </c>
      <c r="U667" s="184">
        <v>0</v>
      </c>
      <c r="V667" s="184">
        <v>0</v>
      </c>
      <c r="W667" s="184">
        <v>0</v>
      </c>
      <c r="X667" s="184">
        <v>0</v>
      </c>
      <c r="Y667" s="184">
        <v>0</v>
      </c>
      <c r="Z667" s="184">
        <v>0</v>
      </c>
      <c r="AA667" s="184">
        <v>0</v>
      </c>
      <c r="AB667" s="184">
        <v>0</v>
      </c>
      <c r="AC667" s="185" t="s">
        <v>24</v>
      </c>
      <c r="AD667" s="185" t="s">
        <v>24</v>
      </c>
      <c r="AE667" s="184">
        <v>0</v>
      </c>
      <c r="AF667" s="185">
        <v>0</v>
      </c>
      <c r="AG667" s="184">
        <v>0</v>
      </c>
      <c r="AH667" s="185">
        <v>0</v>
      </c>
      <c r="AI667" s="184">
        <v>0</v>
      </c>
      <c r="AJ667" s="643">
        <v>0</v>
      </c>
    </row>
    <row r="668" spans="1:36" x14ac:dyDescent="0.2">
      <c r="A668" s="190" t="s">
        <v>56</v>
      </c>
      <c r="B668" s="642">
        <v>0</v>
      </c>
      <c r="C668" s="184">
        <v>0</v>
      </c>
      <c r="D668" s="184">
        <v>0</v>
      </c>
      <c r="E668" s="184">
        <v>0</v>
      </c>
      <c r="F668" s="184">
        <v>0</v>
      </c>
      <c r="G668" s="184">
        <v>0</v>
      </c>
      <c r="H668" s="184">
        <v>0</v>
      </c>
      <c r="I668" s="184">
        <v>0</v>
      </c>
      <c r="J668" s="184">
        <v>0</v>
      </c>
      <c r="K668" s="184">
        <v>0</v>
      </c>
      <c r="L668" s="184">
        <v>0</v>
      </c>
      <c r="M668" s="654" t="s">
        <v>24</v>
      </c>
      <c r="N668" s="585" t="s">
        <v>56</v>
      </c>
      <c r="O668" s="642">
        <v>0</v>
      </c>
      <c r="P668" s="184">
        <v>0</v>
      </c>
      <c r="Q668" s="184">
        <v>0</v>
      </c>
      <c r="R668" s="184">
        <v>0</v>
      </c>
      <c r="S668" s="184">
        <v>0</v>
      </c>
      <c r="T668" s="184">
        <v>0</v>
      </c>
      <c r="U668" s="184">
        <v>0</v>
      </c>
      <c r="V668" s="184">
        <v>0</v>
      </c>
      <c r="W668" s="184">
        <v>0</v>
      </c>
      <c r="X668" s="184">
        <v>0</v>
      </c>
      <c r="Y668" s="184">
        <v>0</v>
      </c>
      <c r="Z668" s="184">
        <v>0</v>
      </c>
      <c r="AA668" s="184">
        <v>0</v>
      </c>
      <c r="AB668" s="184">
        <v>0</v>
      </c>
      <c r="AC668" s="185" t="s">
        <v>24</v>
      </c>
      <c r="AD668" s="185" t="s">
        <v>24</v>
      </c>
      <c r="AE668" s="184">
        <v>0</v>
      </c>
      <c r="AF668" s="185">
        <v>0</v>
      </c>
      <c r="AG668" s="184">
        <v>0</v>
      </c>
      <c r="AH668" s="185">
        <v>0</v>
      </c>
      <c r="AI668" s="184">
        <v>0</v>
      </c>
      <c r="AJ668" s="643">
        <v>0</v>
      </c>
    </row>
    <row r="669" spans="1:36" x14ac:dyDescent="0.2">
      <c r="A669" s="190" t="s">
        <v>43</v>
      </c>
      <c r="B669" s="642">
        <v>0</v>
      </c>
      <c r="C669" s="184">
        <v>0</v>
      </c>
      <c r="D669" s="184">
        <v>0</v>
      </c>
      <c r="E669" s="184">
        <v>0</v>
      </c>
      <c r="F669" s="184">
        <v>0</v>
      </c>
      <c r="G669" s="184">
        <v>0</v>
      </c>
      <c r="H669" s="184">
        <v>0</v>
      </c>
      <c r="I669" s="184">
        <v>0</v>
      </c>
      <c r="J669" s="184">
        <v>0</v>
      </c>
      <c r="K669" s="184">
        <v>0</v>
      </c>
      <c r="L669" s="184">
        <v>0</v>
      </c>
      <c r="M669" s="654" t="s">
        <v>24</v>
      </c>
      <c r="N669" s="585" t="s">
        <v>43</v>
      </c>
      <c r="O669" s="642">
        <v>0</v>
      </c>
      <c r="P669" s="184">
        <v>0</v>
      </c>
      <c r="Q669" s="184">
        <v>0</v>
      </c>
      <c r="R669" s="184">
        <v>0</v>
      </c>
      <c r="S669" s="184">
        <v>0</v>
      </c>
      <c r="T669" s="184">
        <v>0</v>
      </c>
      <c r="U669" s="184">
        <v>0</v>
      </c>
      <c r="V669" s="184">
        <v>0</v>
      </c>
      <c r="W669" s="184">
        <v>0</v>
      </c>
      <c r="X669" s="184">
        <v>0</v>
      </c>
      <c r="Y669" s="184">
        <v>0</v>
      </c>
      <c r="Z669" s="184">
        <v>0</v>
      </c>
      <c r="AA669" s="184">
        <v>0</v>
      </c>
      <c r="AB669" s="184">
        <v>0</v>
      </c>
      <c r="AC669" s="185" t="s">
        <v>24</v>
      </c>
      <c r="AD669" s="185" t="s">
        <v>24</v>
      </c>
      <c r="AE669" s="184">
        <v>0</v>
      </c>
      <c r="AF669" s="185">
        <v>0</v>
      </c>
      <c r="AG669" s="184">
        <v>0</v>
      </c>
      <c r="AH669" s="185">
        <v>0</v>
      </c>
      <c r="AI669" s="184">
        <v>0</v>
      </c>
      <c r="AJ669" s="643">
        <v>0</v>
      </c>
    </row>
    <row r="670" spans="1:36" x14ac:dyDescent="0.2">
      <c r="A670" s="190" t="s">
        <v>59</v>
      </c>
      <c r="B670" s="642">
        <v>0</v>
      </c>
      <c r="C670" s="184">
        <v>0</v>
      </c>
      <c r="D670" s="184">
        <v>0</v>
      </c>
      <c r="E670" s="184">
        <v>0</v>
      </c>
      <c r="F670" s="184">
        <v>0</v>
      </c>
      <c r="G670" s="184">
        <v>0</v>
      </c>
      <c r="H670" s="184">
        <v>0</v>
      </c>
      <c r="I670" s="184">
        <v>0</v>
      </c>
      <c r="J670" s="184">
        <v>0</v>
      </c>
      <c r="K670" s="184">
        <v>0</v>
      </c>
      <c r="L670" s="184">
        <v>0</v>
      </c>
      <c r="M670" s="654" t="s">
        <v>24</v>
      </c>
      <c r="N670" s="585" t="s">
        <v>59</v>
      </c>
      <c r="O670" s="642">
        <v>0</v>
      </c>
      <c r="P670" s="184">
        <v>0</v>
      </c>
      <c r="Q670" s="184">
        <v>0</v>
      </c>
      <c r="R670" s="184">
        <v>0</v>
      </c>
      <c r="S670" s="184">
        <v>0</v>
      </c>
      <c r="T670" s="184">
        <v>0</v>
      </c>
      <c r="U670" s="184">
        <v>0</v>
      </c>
      <c r="V670" s="184">
        <v>0</v>
      </c>
      <c r="W670" s="184">
        <v>0</v>
      </c>
      <c r="X670" s="184">
        <v>0</v>
      </c>
      <c r="Y670" s="184">
        <v>0</v>
      </c>
      <c r="Z670" s="184">
        <v>0</v>
      </c>
      <c r="AA670" s="184">
        <v>0</v>
      </c>
      <c r="AB670" s="184">
        <v>0</v>
      </c>
      <c r="AC670" s="185" t="s">
        <v>24</v>
      </c>
      <c r="AD670" s="185" t="s">
        <v>24</v>
      </c>
      <c r="AE670" s="184">
        <v>0</v>
      </c>
      <c r="AF670" s="185">
        <v>0</v>
      </c>
      <c r="AG670" s="184">
        <v>0</v>
      </c>
      <c r="AH670" s="185">
        <v>0</v>
      </c>
      <c r="AI670" s="184">
        <v>0</v>
      </c>
      <c r="AJ670" s="643">
        <v>0</v>
      </c>
    </row>
    <row r="671" spans="1:36" x14ac:dyDescent="0.2">
      <c r="A671" s="190" t="s">
        <v>61</v>
      </c>
      <c r="B671" s="642">
        <v>1</v>
      </c>
      <c r="C671" s="184">
        <v>0</v>
      </c>
      <c r="D671" s="184">
        <v>1</v>
      </c>
      <c r="E671" s="184">
        <v>0</v>
      </c>
      <c r="F671" s="184">
        <v>0</v>
      </c>
      <c r="G671" s="184">
        <v>0</v>
      </c>
      <c r="H671" s="184">
        <v>0</v>
      </c>
      <c r="I671" s="184">
        <v>0</v>
      </c>
      <c r="J671" s="184">
        <v>0</v>
      </c>
      <c r="K671" s="184">
        <v>0</v>
      </c>
      <c r="L671" s="184">
        <v>0</v>
      </c>
      <c r="M671" s="654" t="s">
        <v>24</v>
      </c>
      <c r="N671" s="585" t="s">
        <v>61</v>
      </c>
      <c r="O671" s="642">
        <v>0</v>
      </c>
      <c r="P671" s="184">
        <v>0</v>
      </c>
      <c r="Q671" s="184">
        <v>0</v>
      </c>
      <c r="R671" s="184">
        <v>0</v>
      </c>
      <c r="S671" s="184">
        <v>0</v>
      </c>
      <c r="T671" s="184">
        <v>0</v>
      </c>
      <c r="U671" s="184">
        <v>0</v>
      </c>
      <c r="V671" s="184">
        <v>1</v>
      </c>
      <c r="W671" s="184">
        <v>0</v>
      </c>
      <c r="X671" s="184">
        <v>0</v>
      </c>
      <c r="Y671" s="184">
        <v>0</v>
      </c>
      <c r="Z671" s="184">
        <v>0</v>
      </c>
      <c r="AA671" s="184">
        <v>0</v>
      </c>
      <c r="AB671" s="184">
        <v>0</v>
      </c>
      <c r="AC671" s="185">
        <v>43.6</v>
      </c>
      <c r="AD671" s="185" t="s">
        <v>24</v>
      </c>
      <c r="AE671" s="184">
        <v>0</v>
      </c>
      <c r="AF671" s="185">
        <v>0</v>
      </c>
      <c r="AG671" s="184">
        <v>0</v>
      </c>
      <c r="AH671" s="185">
        <v>0</v>
      </c>
      <c r="AI671" s="184">
        <v>0</v>
      </c>
      <c r="AJ671" s="643">
        <v>0</v>
      </c>
    </row>
    <row r="672" spans="1:36" x14ac:dyDescent="0.2">
      <c r="A672" s="190" t="s">
        <v>63</v>
      </c>
      <c r="B672" s="642">
        <v>0</v>
      </c>
      <c r="C672" s="184">
        <v>0</v>
      </c>
      <c r="D672" s="184">
        <v>0</v>
      </c>
      <c r="E672" s="184">
        <v>0</v>
      </c>
      <c r="F672" s="184">
        <v>0</v>
      </c>
      <c r="G672" s="184">
        <v>0</v>
      </c>
      <c r="H672" s="184">
        <v>0</v>
      </c>
      <c r="I672" s="184">
        <v>0</v>
      </c>
      <c r="J672" s="184">
        <v>0</v>
      </c>
      <c r="K672" s="184">
        <v>0</v>
      </c>
      <c r="L672" s="184">
        <v>0</v>
      </c>
      <c r="M672" s="654" t="s">
        <v>24</v>
      </c>
      <c r="N672" s="585" t="s">
        <v>63</v>
      </c>
      <c r="O672" s="642">
        <v>0</v>
      </c>
      <c r="P672" s="184">
        <v>0</v>
      </c>
      <c r="Q672" s="184">
        <v>0</v>
      </c>
      <c r="R672" s="184">
        <v>0</v>
      </c>
      <c r="S672" s="184">
        <v>0</v>
      </c>
      <c r="T672" s="184">
        <v>0</v>
      </c>
      <c r="U672" s="184">
        <v>0</v>
      </c>
      <c r="V672" s="184">
        <v>0</v>
      </c>
      <c r="W672" s="184">
        <v>0</v>
      </c>
      <c r="X672" s="184">
        <v>0</v>
      </c>
      <c r="Y672" s="184">
        <v>0</v>
      </c>
      <c r="Z672" s="184">
        <v>0</v>
      </c>
      <c r="AA672" s="184">
        <v>0</v>
      </c>
      <c r="AB672" s="184">
        <v>0</v>
      </c>
      <c r="AC672" s="185" t="s">
        <v>24</v>
      </c>
      <c r="AD672" s="185" t="s">
        <v>24</v>
      </c>
      <c r="AE672" s="184">
        <v>0</v>
      </c>
      <c r="AF672" s="185">
        <v>0</v>
      </c>
      <c r="AG672" s="184">
        <v>0</v>
      </c>
      <c r="AH672" s="185">
        <v>0</v>
      </c>
      <c r="AI672" s="184">
        <v>0</v>
      </c>
      <c r="AJ672" s="643">
        <v>0</v>
      </c>
    </row>
    <row r="673" spans="1:36" x14ac:dyDescent="0.2">
      <c r="A673" s="190" t="s">
        <v>44</v>
      </c>
      <c r="B673" s="642">
        <v>0</v>
      </c>
      <c r="C673" s="184">
        <v>0</v>
      </c>
      <c r="D673" s="184">
        <v>0</v>
      </c>
      <c r="E673" s="184">
        <v>0</v>
      </c>
      <c r="F673" s="184">
        <v>0</v>
      </c>
      <c r="G673" s="184">
        <v>0</v>
      </c>
      <c r="H673" s="184">
        <v>0</v>
      </c>
      <c r="I673" s="184">
        <v>0</v>
      </c>
      <c r="J673" s="184">
        <v>0</v>
      </c>
      <c r="K673" s="184">
        <v>0</v>
      </c>
      <c r="L673" s="184">
        <v>0</v>
      </c>
      <c r="M673" s="654" t="s">
        <v>24</v>
      </c>
      <c r="N673" s="585" t="s">
        <v>44</v>
      </c>
      <c r="O673" s="642">
        <v>0</v>
      </c>
      <c r="P673" s="184">
        <v>0</v>
      </c>
      <c r="Q673" s="184">
        <v>0</v>
      </c>
      <c r="R673" s="184">
        <v>0</v>
      </c>
      <c r="S673" s="184">
        <v>0</v>
      </c>
      <c r="T673" s="184">
        <v>0</v>
      </c>
      <c r="U673" s="184">
        <v>0</v>
      </c>
      <c r="V673" s="184">
        <v>0</v>
      </c>
      <c r="W673" s="184">
        <v>0</v>
      </c>
      <c r="X673" s="184">
        <v>0</v>
      </c>
      <c r="Y673" s="184">
        <v>0</v>
      </c>
      <c r="Z673" s="184">
        <v>0</v>
      </c>
      <c r="AA673" s="184">
        <v>0</v>
      </c>
      <c r="AB673" s="184">
        <v>0</v>
      </c>
      <c r="AC673" s="185" t="s">
        <v>24</v>
      </c>
      <c r="AD673" s="185" t="s">
        <v>24</v>
      </c>
      <c r="AE673" s="184">
        <v>0</v>
      </c>
      <c r="AF673" s="185">
        <v>0</v>
      </c>
      <c r="AG673" s="184">
        <v>0</v>
      </c>
      <c r="AH673" s="185">
        <v>0</v>
      </c>
      <c r="AI673" s="184">
        <v>0</v>
      </c>
      <c r="AJ673" s="643">
        <v>0</v>
      </c>
    </row>
    <row r="674" spans="1:36" x14ac:dyDescent="0.2">
      <c r="A674" s="190" t="s">
        <v>66</v>
      </c>
      <c r="B674" s="642">
        <v>0</v>
      </c>
      <c r="C674" s="184">
        <v>0</v>
      </c>
      <c r="D674" s="184">
        <v>0</v>
      </c>
      <c r="E674" s="184">
        <v>0</v>
      </c>
      <c r="F674" s="184">
        <v>0</v>
      </c>
      <c r="G674" s="184">
        <v>0</v>
      </c>
      <c r="H674" s="184">
        <v>0</v>
      </c>
      <c r="I674" s="184">
        <v>0</v>
      </c>
      <c r="J674" s="184">
        <v>0</v>
      </c>
      <c r="K674" s="184">
        <v>0</v>
      </c>
      <c r="L674" s="184">
        <v>0</v>
      </c>
      <c r="M674" s="654" t="s">
        <v>24</v>
      </c>
      <c r="N674" s="585" t="s">
        <v>66</v>
      </c>
      <c r="O674" s="642">
        <v>0</v>
      </c>
      <c r="P674" s="184">
        <v>0</v>
      </c>
      <c r="Q674" s="184">
        <v>0</v>
      </c>
      <c r="R674" s="184">
        <v>0</v>
      </c>
      <c r="S674" s="184">
        <v>0</v>
      </c>
      <c r="T674" s="184">
        <v>0</v>
      </c>
      <c r="U674" s="184">
        <v>0</v>
      </c>
      <c r="V674" s="184">
        <v>0</v>
      </c>
      <c r="W674" s="184">
        <v>0</v>
      </c>
      <c r="X674" s="184">
        <v>0</v>
      </c>
      <c r="Y674" s="184">
        <v>0</v>
      </c>
      <c r="Z674" s="184">
        <v>0</v>
      </c>
      <c r="AA674" s="184">
        <v>0</v>
      </c>
      <c r="AB674" s="184">
        <v>0</v>
      </c>
      <c r="AC674" s="185" t="s">
        <v>24</v>
      </c>
      <c r="AD674" s="185" t="s">
        <v>24</v>
      </c>
      <c r="AE674" s="184">
        <v>0</v>
      </c>
      <c r="AF674" s="185">
        <v>0</v>
      </c>
      <c r="AG674" s="184">
        <v>0</v>
      </c>
      <c r="AH674" s="185">
        <v>0</v>
      </c>
      <c r="AI674" s="184">
        <v>0</v>
      </c>
      <c r="AJ674" s="643">
        <v>0</v>
      </c>
    </row>
    <row r="675" spans="1:36" x14ac:dyDescent="0.2">
      <c r="A675" s="190" t="s">
        <v>68</v>
      </c>
      <c r="B675" s="642">
        <v>0</v>
      </c>
      <c r="C675" s="184">
        <v>0</v>
      </c>
      <c r="D675" s="184">
        <v>0</v>
      </c>
      <c r="E675" s="184">
        <v>0</v>
      </c>
      <c r="F675" s="184">
        <v>0</v>
      </c>
      <c r="G675" s="184">
        <v>0</v>
      </c>
      <c r="H675" s="184">
        <v>0</v>
      </c>
      <c r="I675" s="184">
        <v>0</v>
      </c>
      <c r="J675" s="184">
        <v>0</v>
      </c>
      <c r="K675" s="184">
        <v>0</v>
      </c>
      <c r="L675" s="184">
        <v>0</v>
      </c>
      <c r="M675" s="654" t="s">
        <v>24</v>
      </c>
      <c r="N675" s="585" t="s">
        <v>68</v>
      </c>
      <c r="O675" s="642">
        <v>0</v>
      </c>
      <c r="P675" s="184">
        <v>0</v>
      </c>
      <c r="Q675" s="184">
        <v>0</v>
      </c>
      <c r="R675" s="184">
        <v>0</v>
      </c>
      <c r="S675" s="184">
        <v>0</v>
      </c>
      <c r="T675" s="184">
        <v>0</v>
      </c>
      <c r="U675" s="184">
        <v>0</v>
      </c>
      <c r="V675" s="184">
        <v>0</v>
      </c>
      <c r="W675" s="184">
        <v>0</v>
      </c>
      <c r="X675" s="184">
        <v>0</v>
      </c>
      <c r="Y675" s="184">
        <v>0</v>
      </c>
      <c r="Z675" s="184">
        <v>0</v>
      </c>
      <c r="AA675" s="184">
        <v>0</v>
      </c>
      <c r="AB675" s="184">
        <v>0</v>
      </c>
      <c r="AC675" s="185" t="s">
        <v>24</v>
      </c>
      <c r="AD675" s="185" t="s">
        <v>24</v>
      </c>
      <c r="AE675" s="184">
        <v>0</v>
      </c>
      <c r="AF675" s="185">
        <v>0</v>
      </c>
      <c r="AG675" s="184">
        <v>0</v>
      </c>
      <c r="AH675" s="185">
        <v>0</v>
      </c>
      <c r="AI675" s="184">
        <v>0</v>
      </c>
      <c r="AJ675" s="643">
        <v>0</v>
      </c>
    </row>
    <row r="676" spans="1:36" x14ac:dyDescent="0.2">
      <c r="A676" s="190" t="s">
        <v>70</v>
      </c>
      <c r="B676" s="642">
        <v>0</v>
      </c>
      <c r="C676" s="184">
        <v>0</v>
      </c>
      <c r="D676" s="184">
        <v>0</v>
      </c>
      <c r="E676" s="184">
        <v>0</v>
      </c>
      <c r="F676" s="184">
        <v>0</v>
      </c>
      <c r="G676" s="184">
        <v>0</v>
      </c>
      <c r="H676" s="184">
        <v>0</v>
      </c>
      <c r="I676" s="184">
        <v>0</v>
      </c>
      <c r="J676" s="184">
        <v>0</v>
      </c>
      <c r="K676" s="184">
        <v>0</v>
      </c>
      <c r="L676" s="184">
        <v>0</v>
      </c>
      <c r="M676" s="654" t="s">
        <v>24</v>
      </c>
      <c r="N676" s="585" t="s">
        <v>70</v>
      </c>
      <c r="O676" s="642">
        <v>0</v>
      </c>
      <c r="P676" s="184">
        <v>0</v>
      </c>
      <c r="Q676" s="184">
        <v>0</v>
      </c>
      <c r="R676" s="184">
        <v>0</v>
      </c>
      <c r="S676" s="184">
        <v>0</v>
      </c>
      <c r="T676" s="184">
        <v>0</v>
      </c>
      <c r="U676" s="184">
        <v>0</v>
      </c>
      <c r="V676" s="184">
        <v>0</v>
      </c>
      <c r="W676" s="184">
        <v>0</v>
      </c>
      <c r="X676" s="184">
        <v>0</v>
      </c>
      <c r="Y676" s="184">
        <v>0</v>
      </c>
      <c r="Z676" s="184">
        <v>0</v>
      </c>
      <c r="AA676" s="184">
        <v>0</v>
      </c>
      <c r="AB676" s="184">
        <v>0</v>
      </c>
      <c r="AC676" s="185" t="s">
        <v>24</v>
      </c>
      <c r="AD676" s="185" t="s">
        <v>24</v>
      </c>
      <c r="AE676" s="184">
        <v>0</v>
      </c>
      <c r="AF676" s="185">
        <v>0</v>
      </c>
      <c r="AG676" s="184">
        <v>0</v>
      </c>
      <c r="AH676" s="185">
        <v>0</v>
      </c>
      <c r="AI676" s="184">
        <v>0</v>
      </c>
      <c r="AJ676" s="643">
        <v>0</v>
      </c>
    </row>
    <row r="677" spans="1:36" x14ac:dyDescent="0.2">
      <c r="A677" s="190" t="s">
        <v>46</v>
      </c>
      <c r="B677" s="642">
        <v>0</v>
      </c>
      <c r="C677" s="184">
        <v>0</v>
      </c>
      <c r="D677" s="184">
        <v>0</v>
      </c>
      <c r="E677" s="184">
        <v>0</v>
      </c>
      <c r="F677" s="184">
        <v>0</v>
      </c>
      <c r="G677" s="184">
        <v>0</v>
      </c>
      <c r="H677" s="184">
        <v>0</v>
      </c>
      <c r="I677" s="184">
        <v>0</v>
      </c>
      <c r="J677" s="184">
        <v>0</v>
      </c>
      <c r="K677" s="184">
        <v>0</v>
      </c>
      <c r="L677" s="184">
        <v>0</v>
      </c>
      <c r="M677" s="654" t="s">
        <v>24</v>
      </c>
      <c r="N677" s="585" t="s">
        <v>46</v>
      </c>
      <c r="O677" s="642">
        <v>0</v>
      </c>
      <c r="P677" s="184">
        <v>0</v>
      </c>
      <c r="Q677" s="184">
        <v>0</v>
      </c>
      <c r="R677" s="184">
        <v>0</v>
      </c>
      <c r="S677" s="184">
        <v>0</v>
      </c>
      <c r="T677" s="184">
        <v>0</v>
      </c>
      <c r="U677" s="184">
        <v>0</v>
      </c>
      <c r="V677" s="184">
        <v>0</v>
      </c>
      <c r="W677" s="184">
        <v>0</v>
      </c>
      <c r="X677" s="184">
        <v>0</v>
      </c>
      <c r="Y677" s="184">
        <v>0</v>
      </c>
      <c r="Z677" s="184">
        <v>0</v>
      </c>
      <c r="AA677" s="184">
        <v>0</v>
      </c>
      <c r="AB677" s="184">
        <v>0</v>
      </c>
      <c r="AC677" s="185" t="s">
        <v>24</v>
      </c>
      <c r="AD677" s="185" t="s">
        <v>24</v>
      </c>
      <c r="AE677" s="184">
        <v>0</v>
      </c>
      <c r="AF677" s="185">
        <v>0</v>
      </c>
      <c r="AG677" s="184">
        <v>0</v>
      </c>
      <c r="AH677" s="185">
        <v>0</v>
      </c>
      <c r="AI677" s="184">
        <v>0</v>
      </c>
      <c r="AJ677" s="643">
        <v>0</v>
      </c>
    </row>
    <row r="678" spans="1:36" x14ac:dyDescent="0.2">
      <c r="A678" s="190" t="s">
        <v>73</v>
      </c>
      <c r="B678" s="642">
        <v>0</v>
      </c>
      <c r="C678" s="184">
        <v>0</v>
      </c>
      <c r="D678" s="184">
        <v>0</v>
      </c>
      <c r="E678" s="184">
        <v>0</v>
      </c>
      <c r="F678" s="184">
        <v>0</v>
      </c>
      <c r="G678" s="184">
        <v>0</v>
      </c>
      <c r="H678" s="184">
        <v>0</v>
      </c>
      <c r="I678" s="184">
        <v>0</v>
      </c>
      <c r="J678" s="184">
        <v>0</v>
      </c>
      <c r="K678" s="184">
        <v>0</v>
      </c>
      <c r="L678" s="184">
        <v>0</v>
      </c>
      <c r="M678" s="654" t="s">
        <v>24</v>
      </c>
      <c r="N678" s="585" t="s">
        <v>73</v>
      </c>
      <c r="O678" s="642">
        <v>0</v>
      </c>
      <c r="P678" s="184">
        <v>0</v>
      </c>
      <c r="Q678" s="184">
        <v>0</v>
      </c>
      <c r="R678" s="184">
        <v>0</v>
      </c>
      <c r="S678" s="184">
        <v>0</v>
      </c>
      <c r="T678" s="184">
        <v>0</v>
      </c>
      <c r="U678" s="184">
        <v>0</v>
      </c>
      <c r="V678" s="184">
        <v>0</v>
      </c>
      <c r="W678" s="184">
        <v>0</v>
      </c>
      <c r="X678" s="184">
        <v>0</v>
      </c>
      <c r="Y678" s="184">
        <v>0</v>
      </c>
      <c r="Z678" s="184">
        <v>0</v>
      </c>
      <c r="AA678" s="184">
        <v>0</v>
      </c>
      <c r="AB678" s="184">
        <v>0</v>
      </c>
      <c r="AC678" s="185" t="s">
        <v>24</v>
      </c>
      <c r="AD678" s="185" t="s">
        <v>24</v>
      </c>
      <c r="AE678" s="184">
        <v>0</v>
      </c>
      <c r="AF678" s="185">
        <v>0</v>
      </c>
      <c r="AG678" s="184">
        <v>0</v>
      </c>
      <c r="AH678" s="185">
        <v>0</v>
      </c>
      <c r="AI678" s="184">
        <v>0</v>
      </c>
      <c r="AJ678" s="643">
        <v>0</v>
      </c>
    </row>
    <row r="679" spans="1:36" x14ac:dyDescent="0.2">
      <c r="A679" s="190" t="s">
        <v>75</v>
      </c>
      <c r="B679" s="642">
        <v>0</v>
      </c>
      <c r="C679" s="184">
        <v>0</v>
      </c>
      <c r="D679" s="184">
        <v>0</v>
      </c>
      <c r="E679" s="184">
        <v>0</v>
      </c>
      <c r="F679" s="184">
        <v>0</v>
      </c>
      <c r="G679" s="184">
        <v>0</v>
      </c>
      <c r="H679" s="184">
        <v>0</v>
      </c>
      <c r="I679" s="184">
        <v>0</v>
      </c>
      <c r="J679" s="184">
        <v>0</v>
      </c>
      <c r="K679" s="184">
        <v>0</v>
      </c>
      <c r="L679" s="184">
        <v>0</v>
      </c>
      <c r="M679" s="654" t="s">
        <v>24</v>
      </c>
      <c r="N679" s="585" t="s">
        <v>75</v>
      </c>
      <c r="O679" s="642">
        <v>0</v>
      </c>
      <c r="P679" s="184">
        <v>0</v>
      </c>
      <c r="Q679" s="184">
        <v>0</v>
      </c>
      <c r="R679" s="184">
        <v>0</v>
      </c>
      <c r="S679" s="184">
        <v>0</v>
      </c>
      <c r="T679" s="184">
        <v>0</v>
      </c>
      <c r="U679" s="184">
        <v>0</v>
      </c>
      <c r="V679" s="184">
        <v>0</v>
      </c>
      <c r="W679" s="184">
        <v>0</v>
      </c>
      <c r="X679" s="184">
        <v>0</v>
      </c>
      <c r="Y679" s="184">
        <v>0</v>
      </c>
      <c r="Z679" s="184">
        <v>0</v>
      </c>
      <c r="AA679" s="184">
        <v>0</v>
      </c>
      <c r="AB679" s="184">
        <v>0</v>
      </c>
      <c r="AC679" s="185" t="s">
        <v>24</v>
      </c>
      <c r="AD679" s="185" t="s">
        <v>24</v>
      </c>
      <c r="AE679" s="184">
        <v>0</v>
      </c>
      <c r="AF679" s="185">
        <v>0</v>
      </c>
      <c r="AG679" s="184">
        <v>0</v>
      </c>
      <c r="AH679" s="185">
        <v>0</v>
      </c>
      <c r="AI679" s="184">
        <v>0</v>
      </c>
      <c r="AJ679" s="643">
        <v>0</v>
      </c>
    </row>
    <row r="680" spans="1:36" ht="13.5" thickBot="1" x14ac:dyDescent="0.25">
      <c r="A680" s="190" t="s">
        <v>77</v>
      </c>
      <c r="B680" s="644">
        <v>2</v>
      </c>
      <c r="C680" s="188">
        <v>0</v>
      </c>
      <c r="D680" s="188">
        <v>1</v>
      </c>
      <c r="E680" s="188">
        <v>0</v>
      </c>
      <c r="F680" s="188">
        <v>1</v>
      </c>
      <c r="G680" s="188">
        <v>0</v>
      </c>
      <c r="H680" s="188">
        <v>0</v>
      </c>
      <c r="I680" s="188">
        <v>0</v>
      </c>
      <c r="J680" s="188">
        <v>0</v>
      </c>
      <c r="K680" s="188">
        <v>0</v>
      </c>
      <c r="L680" s="188">
        <v>0</v>
      </c>
      <c r="M680" s="655" t="s">
        <v>24</v>
      </c>
      <c r="N680" s="585" t="s">
        <v>77</v>
      </c>
      <c r="O680" s="644">
        <v>0</v>
      </c>
      <c r="P680" s="188">
        <v>0</v>
      </c>
      <c r="Q680" s="188">
        <v>0</v>
      </c>
      <c r="R680" s="188">
        <v>0</v>
      </c>
      <c r="S680" s="188">
        <v>0</v>
      </c>
      <c r="T680" s="188">
        <v>0</v>
      </c>
      <c r="U680" s="188">
        <v>0</v>
      </c>
      <c r="V680" s="188">
        <v>1</v>
      </c>
      <c r="W680" s="188">
        <v>0</v>
      </c>
      <c r="X680" s="188">
        <v>1</v>
      </c>
      <c r="Y680" s="188">
        <v>0</v>
      </c>
      <c r="Z680" s="188">
        <v>0</v>
      </c>
      <c r="AA680" s="188">
        <v>0</v>
      </c>
      <c r="AB680" s="188">
        <v>0</v>
      </c>
      <c r="AC680" s="189">
        <v>47</v>
      </c>
      <c r="AD680" s="189" t="s">
        <v>24</v>
      </c>
      <c r="AE680" s="188">
        <v>0</v>
      </c>
      <c r="AF680" s="189">
        <v>0</v>
      </c>
      <c r="AG680" s="188">
        <v>0</v>
      </c>
      <c r="AH680" s="189">
        <v>0</v>
      </c>
      <c r="AI680" s="188">
        <v>0</v>
      </c>
      <c r="AJ680" s="645">
        <v>0</v>
      </c>
    </row>
    <row r="681" spans="1:36" x14ac:dyDescent="0.2">
      <c r="A681" s="190" t="s">
        <v>48</v>
      </c>
      <c r="B681" s="642">
        <v>2</v>
      </c>
      <c r="C681" s="184">
        <v>0</v>
      </c>
      <c r="D681" s="184">
        <v>2</v>
      </c>
      <c r="E681" s="184">
        <v>0</v>
      </c>
      <c r="F681" s="184">
        <v>0</v>
      </c>
      <c r="G681" s="184">
        <v>0</v>
      </c>
      <c r="H681" s="184">
        <v>0</v>
      </c>
      <c r="I681" s="184">
        <v>0</v>
      </c>
      <c r="J681" s="184">
        <v>0</v>
      </c>
      <c r="K681" s="184">
        <v>0</v>
      </c>
      <c r="L681" s="184">
        <v>0</v>
      </c>
      <c r="M681" s="654" t="s">
        <v>24</v>
      </c>
      <c r="N681" s="585" t="s">
        <v>48</v>
      </c>
      <c r="O681" s="642">
        <v>0</v>
      </c>
      <c r="P681" s="184">
        <v>0</v>
      </c>
      <c r="Q681" s="184">
        <v>0</v>
      </c>
      <c r="R681" s="184">
        <v>0</v>
      </c>
      <c r="S681" s="184">
        <v>0</v>
      </c>
      <c r="T681" s="184">
        <v>0</v>
      </c>
      <c r="U681" s="184">
        <v>0</v>
      </c>
      <c r="V681" s="184">
        <v>0</v>
      </c>
      <c r="W681" s="184">
        <v>1</v>
      </c>
      <c r="X681" s="184">
        <v>1</v>
      </c>
      <c r="Y681" s="184">
        <v>0</v>
      </c>
      <c r="Z681" s="184">
        <v>0</v>
      </c>
      <c r="AA681" s="184">
        <v>0</v>
      </c>
      <c r="AB681" s="184">
        <v>0</v>
      </c>
      <c r="AC681" s="185">
        <v>48.9</v>
      </c>
      <c r="AD681" s="185" t="s">
        <v>24</v>
      </c>
      <c r="AE681" s="184">
        <v>0</v>
      </c>
      <c r="AF681" s="185">
        <v>0</v>
      </c>
      <c r="AG681" s="184">
        <v>0</v>
      </c>
      <c r="AH681" s="185">
        <v>0</v>
      </c>
      <c r="AI681" s="184">
        <v>0</v>
      </c>
      <c r="AJ681" s="643">
        <v>0</v>
      </c>
    </row>
    <row r="682" spans="1:36" x14ac:dyDescent="0.2">
      <c r="A682" s="190" t="s">
        <v>79</v>
      </c>
      <c r="B682" s="642">
        <v>2</v>
      </c>
      <c r="C682" s="184">
        <v>0</v>
      </c>
      <c r="D682" s="184">
        <v>2</v>
      </c>
      <c r="E682" s="184">
        <v>0</v>
      </c>
      <c r="F682" s="184">
        <v>0</v>
      </c>
      <c r="G682" s="184">
        <v>0</v>
      </c>
      <c r="H682" s="184">
        <v>0</v>
      </c>
      <c r="I682" s="184">
        <v>0</v>
      </c>
      <c r="J682" s="184">
        <v>0</v>
      </c>
      <c r="K682" s="184">
        <v>0</v>
      </c>
      <c r="L682" s="184">
        <v>0</v>
      </c>
      <c r="M682" s="654" t="s">
        <v>24</v>
      </c>
      <c r="N682" s="585" t="s">
        <v>79</v>
      </c>
      <c r="O682" s="642">
        <v>0</v>
      </c>
      <c r="P682" s="184">
        <v>0</v>
      </c>
      <c r="Q682" s="184">
        <v>0</v>
      </c>
      <c r="R682" s="184">
        <v>0</v>
      </c>
      <c r="S682" s="184">
        <v>0</v>
      </c>
      <c r="T682" s="184">
        <v>0</v>
      </c>
      <c r="U682" s="184">
        <v>1</v>
      </c>
      <c r="V682" s="184">
        <v>1</v>
      </c>
      <c r="W682" s="184">
        <v>0</v>
      </c>
      <c r="X682" s="184">
        <v>0</v>
      </c>
      <c r="Y682" s="184">
        <v>0</v>
      </c>
      <c r="Z682" s="184">
        <v>0</v>
      </c>
      <c r="AA682" s="184">
        <v>0</v>
      </c>
      <c r="AB682" s="184">
        <v>0</v>
      </c>
      <c r="AC682" s="185">
        <v>40.5</v>
      </c>
      <c r="AD682" s="185" t="s">
        <v>24</v>
      </c>
      <c r="AE682" s="184">
        <v>0</v>
      </c>
      <c r="AF682" s="185">
        <v>0</v>
      </c>
      <c r="AG682" s="184">
        <v>0</v>
      </c>
      <c r="AH682" s="185">
        <v>0</v>
      </c>
      <c r="AI682" s="184">
        <v>0</v>
      </c>
      <c r="AJ682" s="643">
        <v>0</v>
      </c>
    </row>
    <row r="683" spans="1:36" x14ac:dyDescent="0.2">
      <c r="A683" s="190" t="s">
        <v>80</v>
      </c>
      <c r="B683" s="642">
        <v>3</v>
      </c>
      <c r="C683" s="184">
        <v>0</v>
      </c>
      <c r="D683" s="184">
        <v>3</v>
      </c>
      <c r="E683" s="184">
        <v>0</v>
      </c>
      <c r="F683" s="184">
        <v>0</v>
      </c>
      <c r="G683" s="184">
        <v>0</v>
      </c>
      <c r="H683" s="184">
        <v>0</v>
      </c>
      <c r="I683" s="184">
        <v>0</v>
      </c>
      <c r="J683" s="184">
        <v>0</v>
      </c>
      <c r="K683" s="184">
        <v>0</v>
      </c>
      <c r="L683" s="184">
        <v>0</v>
      </c>
      <c r="M683" s="654" t="s">
        <v>24</v>
      </c>
      <c r="N683" s="585" t="s">
        <v>80</v>
      </c>
      <c r="O683" s="642">
        <v>0</v>
      </c>
      <c r="P683" s="184">
        <v>0</v>
      </c>
      <c r="Q683" s="184">
        <v>0</v>
      </c>
      <c r="R683" s="184">
        <v>0</v>
      </c>
      <c r="S683" s="184">
        <v>0</v>
      </c>
      <c r="T683" s="184">
        <v>0</v>
      </c>
      <c r="U683" s="184">
        <v>0</v>
      </c>
      <c r="V683" s="184">
        <v>2</v>
      </c>
      <c r="W683" s="184">
        <v>0</v>
      </c>
      <c r="X683" s="184">
        <v>1</v>
      </c>
      <c r="Y683" s="184">
        <v>0</v>
      </c>
      <c r="Z683" s="184">
        <v>0</v>
      </c>
      <c r="AA683" s="184">
        <v>0</v>
      </c>
      <c r="AB683" s="184">
        <v>0</v>
      </c>
      <c r="AC683" s="185">
        <v>46.4</v>
      </c>
      <c r="AD683" s="185" t="s">
        <v>24</v>
      </c>
      <c r="AE683" s="184">
        <v>0</v>
      </c>
      <c r="AF683" s="185">
        <v>0</v>
      </c>
      <c r="AG683" s="184">
        <v>0</v>
      </c>
      <c r="AH683" s="185">
        <v>0</v>
      </c>
      <c r="AI683" s="184">
        <v>0</v>
      </c>
      <c r="AJ683" s="643">
        <v>0</v>
      </c>
    </row>
    <row r="684" spans="1:36" ht="13.5" thickBot="1" x14ac:dyDescent="0.25">
      <c r="A684" s="190" t="s">
        <v>81</v>
      </c>
      <c r="B684" s="644">
        <v>4</v>
      </c>
      <c r="C684" s="188">
        <v>1</v>
      </c>
      <c r="D684" s="188">
        <v>3</v>
      </c>
      <c r="E684" s="188">
        <v>0</v>
      </c>
      <c r="F684" s="188">
        <v>0</v>
      </c>
      <c r="G684" s="188">
        <v>0</v>
      </c>
      <c r="H684" s="188">
        <v>0</v>
      </c>
      <c r="I684" s="188">
        <v>0</v>
      </c>
      <c r="J684" s="188">
        <v>0</v>
      </c>
      <c r="K684" s="188">
        <v>0</v>
      </c>
      <c r="L684" s="188">
        <v>0</v>
      </c>
      <c r="M684" s="655" t="s">
        <v>24</v>
      </c>
      <c r="N684" s="585" t="s">
        <v>81</v>
      </c>
      <c r="O684" s="644">
        <v>0</v>
      </c>
      <c r="P684" s="188">
        <v>0</v>
      </c>
      <c r="Q684" s="188">
        <v>1</v>
      </c>
      <c r="R684" s="188">
        <v>0</v>
      </c>
      <c r="S684" s="188">
        <v>0</v>
      </c>
      <c r="T684" s="188">
        <v>1</v>
      </c>
      <c r="U684" s="188">
        <v>0</v>
      </c>
      <c r="V684" s="188">
        <v>1</v>
      </c>
      <c r="W684" s="188">
        <v>1</v>
      </c>
      <c r="X684" s="188">
        <v>0</v>
      </c>
      <c r="Y684" s="188">
        <v>0</v>
      </c>
      <c r="Z684" s="188">
        <v>0</v>
      </c>
      <c r="AA684" s="188">
        <v>0</v>
      </c>
      <c r="AB684" s="188">
        <v>0</v>
      </c>
      <c r="AC684" s="189">
        <v>36</v>
      </c>
      <c r="AD684" s="189" t="s">
        <v>24</v>
      </c>
      <c r="AE684" s="188">
        <v>0</v>
      </c>
      <c r="AF684" s="189">
        <v>0</v>
      </c>
      <c r="AG684" s="188">
        <v>0</v>
      </c>
      <c r="AH684" s="189">
        <v>0</v>
      </c>
      <c r="AI684" s="188">
        <v>0</v>
      </c>
      <c r="AJ684" s="645">
        <v>0</v>
      </c>
    </row>
    <row r="685" spans="1:36" x14ac:dyDescent="0.2">
      <c r="A685" s="190" t="s">
        <v>50</v>
      </c>
      <c r="B685" s="646">
        <v>6</v>
      </c>
      <c r="C685" s="186">
        <v>0</v>
      </c>
      <c r="D685" s="186">
        <v>5</v>
      </c>
      <c r="E685" s="186">
        <v>0</v>
      </c>
      <c r="F685" s="186">
        <v>1</v>
      </c>
      <c r="G685" s="186">
        <v>0</v>
      </c>
      <c r="H685" s="186">
        <v>0</v>
      </c>
      <c r="I685" s="186">
        <v>0</v>
      </c>
      <c r="J685" s="186">
        <v>0</v>
      </c>
      <c r="K685" s="186">
        <v>0</v>
      </c>
      <c r="L685" s="186">
        <v>0</v>
      </c>
      <c r="M685" s="656" t="s">
        <v>24</v>
      </c>
      <c r="N685" s="585" t="s">
        <v>50</v>
      </c>
      <c r="O685" s="646">
        <v>0</v>
      </c>
      <c r="P685" s="186">
        <v>0</v>
      </c>
      <c r="Q685" s="186">
        <v>0</v>
      </c>
      <c r="R685" s="186">
        <v>0</v>
      </c>
      <c r="S685" s="186">
        <v>0</v>
      </c>
      <c r="T685" s="186">
        <v>0</v>
      </c>
      <c r="U685" s="186">
        <v>2</v>
      </c>
      <c r="V685" s="186">
        <v>1</v>
      </c>
      <c r="W685" s="186">
        <v>3</v>
      </c>
      <c r="X685" s="186">
        <v>0</v>
      </c>
      <c r="Y685" s="186">
        <v>0</v>
      </c>
      <c r="Z685" s="186">
        <v>0</v>
      </c>
      <c r="AA685" s="186">
        <v>0</v>
      </c>
      <c r="AB685" s="186">
        <v>0</v>
      </c>
      <c r="AC685" s="187">
        <v>44</v>
      </c>
      <c r="AD685" s="187" t="s">
        <v>24</v>
      </c>
      <c r="AE685" s="186">
        <v>0</v>
      </c>
      <c r="AF685" s="187">
        <v>0</v>
      </c>
      <c r="AG685" s="186">
        <v>0</v>
      </c>
      <c r="AH685" s="187">
        <v>0</v>
      </c>
      <c r="AI685" s="186">
        <v>0</v>
      </c>
      <c r="AJ685" s="647">
        <v>0</v>
      </c>
    </row>
    <row r="686" spans="1:36" x14ac:dyDescent="0.2">
      <c r="A686" s="190" t="s">
        <v>82</v>
      </c>
      <c r="B686" s="642">
        <v>3</v>
      </c>
      <c r="C686" s="184">
        <v>1</v>
      </c>
      <c r="D686" s="184">
        <v>2</v>
      </c>
      <c r="E686" s="184">
        <v>0</v>
      </c>
      <c r="F686" s="184">
        <v>0</v>
      </c>
      <c r="G686" s="184">
        <v>0</v>
      </c>
      <c r="H686" s="184">
        <v>0</v>
      </c>
      <c r="I686" s="184">
        <v>0</v>
      </c>
      <c r="J686" s="184">
        <v>0</v>
      </c>
      <c r="K686" s="184">
        <v>0</v>
      </c>
      <c r="L686" s="184">
        <v>0</v>
      </c>
      <c r="M686" s="654" t="s">
        <v>24</v>
      </c>
      <c r="N686" s="585" t="s">
        <v>82</v>
      </c>
      <c r="O686" s="642">
        <v>0</v>
      </c>
      <c r="P686" s="184">
        <v>0</v>
      </c>
      <c r="Q686" s="184">
        <v>0</v>
      </c>
      <c r="R686" s="184">
        <v>0</v>
      </c>
      <c r="S686" s="184">
        <v>0</v>
      </c>
      <c r="T686" s="184">
        <v>1</v>
      </c>
      <c r="U686" s="184">
        <v>0</v>
      </c>
      <c r="V686" s="184">
        <v>0</v>
      </c>
      <c r="W686" s="184">
        <v>2</v>
      </c>
      <c r="X686" s="184">
        <v>0</v>
      </c>
      <c r="Y686" s="184">
        <v>0</v>
      </c>
      <c r="Z686" s="184">
        <v>0</v>
      </c>
      <c r="AA686" s="184">
        <v>0</v>
      </c>
      <c r="AB686" s="184">
        <v>0</v>
      </c>
      <c r="AC686" s="185">
        <v>41.8</v>
      </c>
      <c r="AD686" s="185" t="s">
        <v>24</v>
      </c>
      <c r="AE686" s="184">
        <v>0</v>
      </c>
      <c r="AF686" s="185">
        <v>0</v>
      </c>
      <c r="AG686" s="184">
        <v>0</v>
      </c>
      <c r="AH686" s="185">
        <v>0</v>
      </c>
      <c r="AI686" s="184">
        <v>0</v>
      </c>
      <c r="AJ686" s="643">
        <v>0</v>
      </c>
    </row>
    <row r="687" spans="1:36" x14ac:dyDescent="0.2">
      <c r="A687" s="190" t="s">
        <v>83</v>
      </c>
      <c r="B687" s="642">
        <v>10</v>
      </c>
      <c r="C687" s="184">
        <v>1</v>
      </c>
      <c r="D687" s="184">
        <v>9</v>
      </c>
      <c r="E687" s="184">
        <v>0</v>
      </c>
      <c r="F687" s="184">
        <v>0</v>
      </c>
      <c r="G687" s="184">
        <v>0</v>
      </c>
      <c r="H687" s="184">
        <v>0</v>
      </c>
      <c r="I687" s="184">
        <v>0</v>
      </c>
      <c r="J687" s="184">
        <v>0</v>
      </c>
      <c r="K687" s="184">
        <v>0</v>
      </c>
      <c r="L687" s="184">
        <v>0</v>
      </c>
      <c r="M687" s="654" t="s">
        <v>24</v>
      </c>
      <c r="N687" s="585" t="s">
        <v>83</v>
      </c>
      <c r="O687" s="642">
        <v>0</v>
      </c>
      <c r="P687" s="184">
        <v>0</v>
      </c>
      <c r="Q687" s="184">
        <v>0</v>
      </c>
      <c r="R687" s="184">
        <v>1</v>
      </c>
      <c r="S687" s="184">
        <v>1</v>
      </c>
      <c r="T687" s="184">
        <v>0</v>
      </c>
      <c r="U687" s="184">
        <v>0</v>
      </c>
      <c r="V687" s="184">
        <v>3</v>
      </c>
      <c r="W687" s="184">
        <v>3</v>
      </c>
      <c r="X687" s="184">
        <v>2</v>
      </c>
      <c r="Y687" s="184">
        <v>0</v>
      </c>
      <c r="Z687" s="184">
        <v>0</v>
      </c>
      <c r="AA687" s="184">
        <v>0</v>
      </c>
      <c r="AB687" s="184">
        <v>0</v>
      </c>
      <c r="AC687" s="185">
        <v>42.4</v>
      </c>
      <c r="AD687" s="185" t="s">
        <v>24</v>
      </c>
      <c r="AE687" s="184">
        <v>0</v>
      </c>
      <c r="AF687" s="185">
        <v>0</v>
      </c>
      <c r="AG687" s="184">
        <v>0</v>
      </c>
      <c r="AH687" s="185">
        <v>0</v>
      </c>
      <c r="AI687" s="184">
        <v>0</v>
      </c>
      <c r="AJ687" s="643">
        <v>0</v>
      </c>
    </row>
    <row r="688" spans="1:36" x14ac:dyDescent="0.2">
      <c r="A688" s="190" t="s">
        <v>84</v>
      </c>
      <c r="B688" s="642">
        <v>15</v>
      </c>
      <c r="C688" s="184">
        <v>0</v>
      </c>
      <c r="D688" s="184">
        <v>13</v>
      </c>
      <c r="E688" s="184">
        <v>0</v>
      </c>
      <c r="F688" s="184">
        <v>2</v>
      </c>
      <c r="G688" s="184">
        <v>0</v>
      </c>
      <c r="H688" s="184">
        <v>0</v>
      </c>
      <c r="I688" s="184">
        <v>0</v>
      </c>
      <c r="J688" s="184">
        <v>0</v>
      </c>
      <c r="K688" s="184">
        <v>0</v>
      </c>
      <c r="L688" s="184">
        <v>0</v>
      </c>
      <c r="M688" s="654" t="s">
        <v>24</v>
      </c>
      <c r="N688" s="585" t="s">
        <v>84</v>
      </c>
      <c r="O688" s="642">
        <v>0</v>
      </c>
      <c r="P688" s="184">
        <v>0</v>
      </c>
      <c r="Q688" s="184">
        <v>0</v>
      </c>
      <c r="R688" s="184">
        <v>0</v>
      </c>
      <c r="S688" s="184">
        <v>0</v>
      </c>
      <c r="T688" s="184">
        <v>2</v>
      </c>
      <c r="U688" s="184">
        <v>1</v>
      </c>
      <c r="V688" s="184">
        <v>5</v>
      </c>
      <c r="W688" s="184">
        <v>1</v>
      </c>
      <c r="X688" s="184">
        <v>4</v>
      </c>
      <c r="Y688" s="184">
        <v>2</v>
      </c>
      <c r="Z688" s="184">
        <v>0</v>
      </c>
      <c r="AA688" s="184">
        <v>0</v>
      </c>
      <c r="AB688" s="184">
        <v>0</v>
      </c>
      <c r="AC688" s="185">
        <v>47.6</v>
      </c>
      <c r="AD688" s="185">
        <v>59.6</v>
      </c>
      <c r="AE688" s="184">
        <v>2</v>
      </c>
      <c r="AF688" s="185">
        <v>13.333333333333334</v>
      </c>
      <c r="AG688" s="184">
        <v>0</v>
      </c>
      <c r="AH688" s="185">
        <v>0</v>
      </c>
      <c r="AI688" s="184">
        <v>0</v>
      </c>
      <c r="AJ688" s="643">
        <v>0</v>
      </c>
    </row>
    <row r="689" spans="1:36" x14ac:dyDescent="0.2">
      <c r="A689" s="190" t="s">
        <v>51</v>
      </c>
      <c r="B689" s="642">
        <v>7</v>
      </c>
      <c r="C689" s="184">
        <v>0</v>
      </c>
      <c r="D689" s="184">
        <v>5</v>
      </c>
      <c r="E689" s="184">
        <v>0</v>
      </c>
      <c r="F689" s="184">
        <v>2</v>
      </c>
      <c r="G689" s="184">
        <v>0</v>
      </c>
      <c r="H689" s="184">
        <v>0</v>
      </c>
      <c r="I689" s="184">
        <v>0</v>
      </c>
      <c r="J689" s="184">
        <v>0</v>
      </c>
      <c r="K689" s="184">
        <v>0</v>
      </c>
      <c r="L689" s="184">
        <v>0</v>
      </c>
      <c r="M689" s="654" t="s">
        <v>24</v>
      </c>
      <c r="N689" s="585" t="s">
        <v>51</v>
      </c>
      <c r="O689" s="642">
        <v>0</v>
      </c>
      <c r="P689" s="184">
        <v>0</v>
      </c>
      <c r="Q689" s="184">
        <v>0</v>
      </c>
      <c r="R689" s="184">
        <v>0</v>
      </c>
      <c r="S689" s="184">
        <v>0</v>
      </c>
      <c r="T689" s="184">
        <v>1</v>
      </c>
      <c r="U689" s="184">
        <v>1</v>
      </c>
      <c r="V689" s="184">
        <v>2</v>
      </c>
      <c r="W689" s="184">
        <v>0</v>
      </c>
      <c r="X689" s="184">
        <v>3</v>
      </c>
      <c r="Y689" s="184">
        <v>0</v>
      </c>
      <c r="Z689" s="184">
        <v>0</v>
      </c>
      <c r="AA689" s="184">
        <v>0</v>
      </c>
      <c r="AB689" s="184">
        <v>0</v>
      </c>
      <c r="AC689" s="185">
        <v>45.6</v>
      </c>
      <c r="AD689" s="185" t="s">
        <v>24</v>
      </c>
      <c r="AE689" s="184">
        <v>0</v>
      </c>
      <c r="AF689" s="185">
        <v>0</v>
      </c>
      <c r="AG689" s="184">
        <v>0</v>
      </c>
      <c r="AH689" s="185">
        <v>0</v>
      </c>
      <c r="AI689" s="184">
        <v>0</v>
      </c>
      <c r="AJ689" s="643">
        <v>0</v>
      </c>
    </row>
    <row r="690" spans="1:36" x14ac:dyDescent="0.2">
      <c r="A690" s="190" t="s">
        <v>85</v>
      </c>
      <c r="B690" s="642">
        <v>7</v>
      </c>
      <c r="C690" s="184">
        <v>0</v>
      </c>
      <c r="D690" s="184">
        <v>5</v>
      </c>
      <c r="E690" s="184">
        <v>0</v>
      </c>
      <c r="F690" s="184">
        <v>2</v>
      </c>
      <c r="G690" s="184">
        <v>0</v>
      </c>
      <c r="H690" s="184">
        <v>0</v>
      </c>
      <c r="I690" s="184">
        <v>0</v>
      </c>
      <c r="J690" s="184">
        <v>0</v>
      </c>
      <c r="K690" s="184">
        <v>0</v>
      </c>
      <c r="L690" s="184">
        <v>0</v>
      </c>
      <c r="M690" s="654" t="s">
        <v>24</v>
      </c>
      <c r="N690" s="585" t="s">
        <v>85</v>
      </c>
      <c r="O690" s="642">
        <v>0</v>
      </c>
      <c r="P690" s="184">
        <v>0</v>
      </c>
      <c r="Q690" s="184">
        <v>0</v>
      </c>
      <c r="R690" s="184">
        <v>0</v>
      </c>
      <c r="S690" s="184">
        <v>0</v>
      </c>
      <c r="T690" s="184">
        <v>2</v>
      </c>
      <c r="U690" s="184">
        <v>2</v>
      </c>
      <c r="V690" s="184">
        <v>0</v>
      </c>
      <c r="W690" s="184">
        <v>1</v>
      </c>
      <c r="X690" s="184">
        <v>2</v>
      </c>
      <c r="Y690" s="184">
        <v>0</v>
      </c>
      <c r="Z690" s="184">
        <v>0</v>
      </c>
      <c r="AA690" s="184">
        <v>0</v>
      </c>
      <c r="AB690" s="184">
        <v>0</v>
      </c>
      <c r="AC690" s="185">
        <v>43</v>
      </c>
      <c r="AD690" s="185" t="s">
        <v>24</v>
      </c>
      <c r="AE690" s="184">
        <v>0</v>
      </c>
      <c r="AF690" s="185">
        <v>0</v>
      </c>
      <c r="AG690" s="184">
        <v>0</v>
      </c>
      <c r="AH690" s="185">
        <v>0</v>
      </c>
      <c r="AI690" s="184">
        <v>0</v>
      </c>
      <c r="AJ690" s="643">
        <v>0</v>
      </c>
    </row>
    <row r="691" spans="1:36" x14ac:dyDescent="0.2">
      <c r="A691" s="190" t="s">
        <v>86</v>
      </c>
      <c r="B691" s="642">
        <v>10</v>
      </c>
      <c r="C691" s="184">
        <v>0</v>
      </c>
      <c r="D691" s="184">
        <v>6</v>
      </c>
      <c r="E691" s="184">
        <v>0</v>
      </c>
      <c r="F691" s="184">
        <v>4</v>
      </c>
      <c r="G691" s="184">
        <v>0</v>
      </c>
      <c r="H691" s="184">
        <v>0</v>
      </c>
      <c r="I691" s="184">
        <v>0</v>
      </c>
      <c r="J691" s="184">
        <v>0</v>
      </c>
      <c r="K691" s="184">
        <v>0</v>
      </c>
      <c r="L691" s="184">
        <v>0</v>
      </c>
      <c r="M691" s="654" t="s">
        <v>24</v>
      </c>
      <c r="N691" s="585" t="s">
        <v>86</v>
      </c>
      <c r="O691" s="642">
        <v>0</v>
      </c>
      <c r="P691" s="184">
        <v>0</v>
      </c>
      <c r="Q691" s="184">
        <v>0</v>
      </c>
      <c r="R691" s="184">
        <v>0</v>
      </c>
      <c r="S691" s="184">
        <v>2</v>
      </c>
      <c r="T691" s="184">
        <v>1</v>
      </c>
      <c r="U691" s="184">
        <v>4</v>
      </c>
      <c r="V691" s="184">
        <v>3</v>
      </c>
      <c r="W691" s="184">
        <v>0</v>
      </c>
      <c r="X691" s="184">
        <v>0</v>
      </c>
      <c r="Y691" s="184">
        <v>0</v>
      </c>
      <c r="Z691" s="184">
        <v>0</v>
      </c>
      <c r="AA691" s="184">
        <v>0</v>
      </c>
      <c r="AB691" s="184">
        <v>0</v>
      </c>
      <c r="AC691" s="185">
        <v>36.4</v>
      </c>
      <c r="AD691" s="185" t="s">
        <v>24</v>
      </c>
      <c r="AE691" s="184">
        <v>0</v>
      </c>
      <c r="AF691" s="185">
        <v>0</v>
      </c>
      <c r="AG691" s="184">
        <v>0</v>
      </c>
      <c r="AH691" s="185">
        <v>0</v>
      </c>
      <c r="AI691" s="184">
        <v>0</v>
      </c>
      <c r="AJ691" s="643">
        <v>0</v>
      </c>
    </row>
    <row r="692" spans="1:36" x14ac:dyDescent="0.2">
      <c r="A692" s="190" t="s">
        <v>87</v>
      </c>
      <c r="B692" s="642">
        <v>13</v>
      </c>
      <c r="C692" s="184">
        <v>0</v>
      </c>
      <c r="D692" s="184">
        <v>13</v>
      </c>
      <c r="E692" s="184">
        <v>0</v>
      </c>
      <c r="F692" s="184">
        <v>0</v>
      </c>
      <c r="G692" s="184">
        <v>0</v>
      </c>
      <c r="H692" s="184">
        <v>0</v>
      </c>
      <c r="I692" s="184">
        <v>0</v>
      </c>
      <c r="J692" s="184">
        <v>0</v>
      </c>
      <c r="K692" s="184">
        <v>0</v>
      </c>
      <c r="L692" s="184">
        <v>0</v>
      </c>
      <c r="M692" s="654" t="s">
        <v>24</v>
      </c>
      <c r="N692" s="585" t="s">
        <v>87</v>
      </c>
      <c r="O692" s="642">
        <v>0</v>
      </c>
      <c r="P692" s="184">
        <v>0</v>
      </c>
      <c r="Q692" s="184">
        <v>0</v>
      </c>
      <c r="R692" s="184">
        <v>0</v>
      </c>
      <c r="S692" s="184">
        <v>0</v>
      </c>
      <c r="T692" s="184">
        <v>4</v>
      </c>
      <c r="U692" s="184">
        <v>5</v>
      </c>
      <c r="V692" s="184">
        <v>2</v>
      </c>
      <c r="W692" s="184">
        <v>0</v>
      </c>
      <c r="X692" s="184">
        <v>1</v>
      </c>
      <c r="Y692" s="184">
        <v>1</v>
      </c>
      <c r="Z692" s="184">
        <v>0</v>
      </c>
      <c r="AA692" s="184">
        <v>0</v>
      </c>
      <c r="AB692" s="184">
        <v>0</v>
      </c>
      <c r="AC692" s="185">
        <v>39.700000000000003</v>
      </c>
      <c r="AD692" s="185">
        <v>51.8</v>
      </c>
      <c r="AE692" s="184">
        <v>1</v>
      </c>
      <c r="AF692" s="185">
        <v>7.6923076923076925</v>
      </c>
      <c r="AG692" s="184">
        <v>0</v>
      </c>
      <c r="AH692" s="185">
        <v>0</v>
      </c>
      <c r="AI692" s="184">
        <v>0</v>
      </c>
      <c r="AJ692" s="643">
        <v>0</v>
      </c>
    </row>
    <row r="693" spans="1:36" x14ac:dyDescent="0.2">
      <c r="A693" s="190" t="s">
        <v>53</v>
      </c>
      <c r="B693" s="646">
        <v>11</v>
      </c>
      <c r="C693" s="186">
        <v>0</v>
      </c>
      <c r="D693" s="186">
        <v>9</v>
      </c>
      <c r="E693" s="186">
        <v>0</v>
      </c>
      <c r="F693" s="186">
        <v>2</v>
      </c>
      <c r="G693" s="186">
        <v>0</v>
      </c>
      <c r="H693" s="186">
        <v>0</v>
      </c>
      <c r="I693" s="186">
        <v>0</v>
      </c>
      <c r="J693" s="186">
        <v>0</v>
      </c>
      <c r="K693" s="186">
        <v>0</v>
      </c>
      <c r="L693" s="186">
        <v>0</v>
      </c>
      <c r="M693" s="656" t="s">
        <v>24</v>
      </c>
      <c r="N693" s="585" t="s">
        <v>53</v>
      </c>
      <c r="O693" s="646">
        <v>0</v>
      </c>
      <c r="P693" s="186">
        <v>0</v>
      </c>
      <c r="Q693" s="186">
        <v>0</v>
      </c>
      <c r="R693" s="186">
        <v>0</v>
      </c>
      <c r="S693" s="186">
        <v>3</v>
      </c>
      <c r="T693" s="186">
        <v>6</v>
      </c>
      <c r="U693" s="186">
        <v>0</v>
      </c>
      <c r="V693" s="186">
        <v>2</v>
      </c>
      <c r="W693" s="186">
        <v>0</v>
      </c>
      <c r="X693" s="186">
        <v>0</v>
      </c>
      <c r="Y693" s="186">
        <v>0</v>
      </c>
      <c r="Z693" s="186">
        <v>0</v>
      </c>
      <c r="AA693" s="186">
        <v>0</v>
      </c>
      <c r="AB693" s="186">
        <v>0</v>
      </c>
      <c r="AC693" s="187">
        <v>33.299999999999997</v>
      </c>
      <c r="AD693" s="187">
        <v>42.5</v>
      </c>
      <c r="AE693" s="186">
        <v>0</v>
      </c>
      <c r="AF693" s="187">
        <v>0</v>
      </c>
      <c r="AG693" s="186">
        <v>0</v>
      </c>
      <c r="AH693" s="187">
        <v>0</v>
      </c>
      <c r="AI693" s="186">
        <v>0</v>
      </c>
      <c r="AJ693" s="647">
        <v>0</v>
      </c>
    </row>
    <row r="694" spans="1:36" x14ac:dyDescent="0.2">
      <c r="A694" s="190" t="s">
        <v>88</v>
      </c>
      <c r="B694" s="642">
        <v>2</v>
      </c>
      <c r="C694" s="184">
        <v>0</v>
      </c>
      <c r="D694" s="184">
        <v>2</v>
      </c>
      <c r="E694" s="184">
        <v>0</v>
      </c>
      <c r="F694" s="184">
        <v>0</v>
      </c>
      <c r="G694" s="184">
        <v>0</v>
      </c>
      <c r="H694" s="184">
        <v>0</v>
      </c>
      <c r="I694" s="184">
        <v>0</v>
      </c>
      <c r="J694" s="184">
        <v>0</v>
      </c>
      <c r="K694" s="184">
        <v>0</v>
      </c>
      <c r="L694" s="184">
        <v>0</v>
      </c>
      <c r="M694" s="654" t="s">
        <v>24</v>
      </c>
      <c r="N694" s="585" t="s">
        <v>88</v>
      </c>
      <c r="O694" s="642">
        <v>0</v>
      </c>
      <c r="P694" s="184">
        <v>0</v>
      </c>
      <c r="Q694" s="184">
        <v>0</v>
      </c>
      <c r="R694" s="184">
        <v>2</v>
      </c>
      <c r="S694" s="184">
        <v>0</v>
      </c>
      <c r="T694" s="184">
        <v>0</v>
      </c>
      <c r="U694" s="184">
        <v>0</v>
      </c>
      <c r="V694" s="184">
        <v>0</v>
      </c>
      <c r="W694" s="184">
        <v>0</v>
      </c>
      <c r="X694" s="184">
        <v>0</v>
      </c>
      <c r="Y694" s="184">
        <v>0</v>
      </c>
      <c r="Z694" s="184">
        <v>0</v>
      </c>
      <c r="AA694" s="184">
        <v>0</v>
      </c>
      <c r="AB694" s="184">
        <v>0</v>
      </c>
      <c r="AC694" s="185">
        <v>23.6</v>
      </c>
      <c r="AD694" s="185" t="s">
        <v>24</v>
      </c>
      <c r="AE694" s="184">
        <v>0</v>
      </c>
      <c r="AF694" s="185">
        <v>0</v>
      </c>
      <c r="AG694" s="184">
        <v>0</v>
      </c>
      <c r="AH694" s="185">
        <v>0</v>
      </c>
      <c r="AI694" s="184">
        <v>0</v>
      </c>
      <c r="AJ694" s="643">
        <v>0</v>
      </c>
    </row>
    <row r="695" spans="1:36" x14ac:dyDescent="0.2">
      <c r="A695" s="190" t="s">
        <v>89</v>
      </c>
      <c r="B695" s="642">
        <v>12</v>
      </c>
      <c r="C695" s="184">
        <v>1</v>
      </c>
      <c r="D695" s="184">
        <v>9</v>
      </c>
      <c r="E695" s="184">
        <v>0</v>
      </c>
      <c r="F695" s="184">
        <v>1</v>
      </c>
      <c r="G695" s="184">
        <v>0</v>
      </c>
      <c r="H695" s="184">
        <v>0</v>
      </c>
      <c r="I695" s="184">
        <v>1</v>
      </c>
      <c r="J695" s="184">
        <v>0</v>
      </c>
      <c r="K695" s="184">
        <v>0</v>
      </c>
      <c r="L695" s="184">
        <v>0</v>
      </c>
      <c r="M695" s="654" t="s">
        <v>24</v>
      </c>
      <c r="N695" s="585" t="s">
        <v>89</v>
      </c>
      <c r="O695" s="642">
        <v>0</v>
      </c>
      <c r="P695" s="184">
        <v>0</v>
      </c>
      <c r="Q695" s="184">
        <v>0</v>
      </c>
      <c r="R695" s="184">
        <v>1</v>
      </c>
      <c r="S695" s="184">
        <v>3</v>
      </c>
      <c r="T695" s="184">
        <v>3</v>
      </c>
      <c r="U695" s="184">
        <v>2</v>
      </c>
      <c r="V695" s="184">
        <v>3</v>
      </c>
      <c r="W695" s="184">
        <v>0</v>
      </c>
      <c r="X695" s="184">
        <v>0</v>
      </c>
      <c r="Y695" s="184">
        <v>0</v>
      </c>
      <c r="Z695" s="184">
        <v>0</v>
      </c>
      <c r="AA695" s="184">
        <v>0</v>
      </c>
      <c r="AB695" s="184">
        <v>0</v>
      </c>
      <c r="AC695" s="185">
        <v>34.4</v>
      </c>
      <c r="AD695" s="185">
        <v>44.4</v>
      </c>
      <c r="AE695" s="184">
        <v>0</v>
      </c>
      <c r="AF695" s="185">
        <v>0</v>
      </c>
      <c r="AG695" s="184">
        <v>0</v>
      </c>
      <c r="AH695" s="185">
        <v>0</v>
      </c>
      <c r="AI695" s="184">
        <v>0</v>
      </c>
      <c r="AJ695" s="643">
        <v>0</v>
      </c>
    </row>
    <row r="696" spans="1:36" x14ac:dyDescent="0.2">
      <c r="A696" s="190" t="s">
        <v>90</v>
      </c>
      <c r="B696" s="642">
        <v>2</v>
      </c>
      <c r="C696" s="184">
        <v>0</v>
      </c>
      <c r="D696" s="184">
        <v>2</v>
      </c>
      <c r="E696" s="184">
        <v>0</v>
      </c>
      <c r="F696" s="184">
        <v>0</v>
      </c>
      <c r="G696" s="184">
        <v>0</v>
      </c>
      <c r="H696" s="184">
        <v>0</v>
      </c>
      <c r="I696" s="184">
        <v>0</v>
      </c>
      <c r="J696" s="184">
        <v>0</v>
      </c>
      <c r="K696" s="184">
        <v>0</v>
      </c>
      <c r="L696" s="184">
        <v>0</v>
      </c>
      <c r="M696" s="654" t="s">
        <v>24</v>
      </c>
      <c r="N696" s="585" t="s">
        <v>90</v>
      </c>
      <c r="O696" s="642">
        <v>0</v>
      </c>
      <c r="P696" s="184">
        <v>0</v>
      </c>
      <c r="Q696" s="184">
        <v>0</v>
      </c>
      <c r="R696" s="184">
        <v>0</v>
      </c>
      <c r="S696" s="184">
        <v>1</v>
      </c>
      <c r="T696" s="184">
        <v>1</v>
      </c>
      <c r="U696" s="184">
        <v>0</v>
      </c>
      <c r="V696" s="184">
        <v>0</v>
      </c>
      <c r="W696" s="184">
        <v>0</v>
      </c>
      <c r="X696" s="184">
        <v>0</v>
      </c>
      <c r="Y696" s="184">
        <v>0</v>
      </c>
      <c r="Z696" s="184">
        <v>0</v>
      </c>
      <c r="AA696" s="184">
        <v>0</v>
      </c>
      <c r="AB696" s="184">
        <v>0</v>
      </c>
      <c r="AC696" s="185">
        <v>27.8</v>
      </c>
      <c r="AD696" s="185" t="s">
        <v>24</v>
      </c>
      <c r="AE696" s="184">
        <v>0</v>
      </c>
      <c r="AF696" s="185">
        <v>0</v>
      </c>
      <c r="AG696" s="184">
        <v>0</v>
      </c>
      <c r="AH696" s="185">
        <v>0</v>
      </c>
      <c r="AI696" s="184">
        <v>0</v>
      </c>
      <c r="AJ696" s="643">
        <v>0</v>
      </c>
    </row>
    <row r="697" spans="1:36" x14ac:dyDescent="0.2">
      <c r="A697" s="190" t="s">
        <v>55</v>
      </c>
      <c r="B697" s="642">
        <v>11</v>
      </c>
      <c r="C697" s="184">
        <v>0</v>
      </c>
      <c r="D697" s="184">
        <v>6</v>
      </c>
      <c r="E697" s="184">
        <v>0</v>
      </c>
      <c r="F697" s="184">
        <v>4</v>
      </c>
      <c r="G697" s="184">
        <v>1</v>
      </c>
      <c r="H697" s="184">
        <v>0</v>
      </c>
      <c r="I697" s="184">
        <v>0</v>
      </c>
      <c r="J697" s="184">
        <v>0</v>
      </c>
      <c r="K697" s="184">
        <v>0</v>
      </c>
      <c r="L697" s="184">
        <v>0</v>
      </c>
      <c r="M697" s="654" t="s">
        <v>24</v>
      </c>
      <c r="N697" s="585" t="s">
        <v>55</v>
      </c>
      <c r="O697" s="642">
        <v>0</v>
      </c>
      <c r="P697" s="184">
        <v>0</v>
      </c>
      <c r="Q697" s="184">
        <v>0</v>
      </c>
      <c r="R697" s="184">
        <v>0</v>
      </c>
      <c r="S697" s="184">
        <v>2</v>
      </c>
      <c r="T697" s="184">
        <v>4</v>
      </c>
      <c r="U697" s="184">
        <v>1</v>
      </c>
      <c r="V697" s="184">
        <v>2</v>
      </c>
      <c r="W697" s="184">
        <v>2</v>
      </c>
      <c r="X697" s="184">
        <v>0</v>
      </c>
      <c r="Y697" s="184">
        <v>0</v>
      </c>
      <c r="Z697" s="184">
        <v>0</v>
      </c>
      <c r="AA697" s="184">
        <v>0</v>
      </c>
      <c r="AB697" s="184">
        <v>0</v>
      </c>
      <c r="AC697" s="185">
        <v>37</v>
      </c>
      <c r="AD697" s="185">
        <v>47.6</v>
      </c>
      <c r="AE697" s="184">
        <v>0</v>
      </c>
      <c r="AF697" s="185">
        <v>0</v>
      </c>
      <c r="AG697" s="184">
        <v>0</v>
      </c>
      <c r="AH697" s="185">
        <v>0</v>
      </c>
      <c r="AI697" s="184">
        <v>0</v>
      </c>
      <c r="AJ697" s="643">
        <v>0</v>
      </c>
    </row>
    <row r="698" spans="1:36" x14ac:dyDescent="0.2">
      <c r="A698" s="190" t="s">
        <v>91</v>
      </c>
      <c r="B698" s="642">
        <v>13</v>
      </c>
      <c r="C698" s="184">
        <v>0</v>
      </c>
      <c r="D698" s="184">
        <v>11</v>
      </c>
      <c r="E698" s="184">
        <v>0</v>
      </c>
      <c r="F698" s="184">
        <v>2</v>
      </c>
      <c r="G698" s="184">
        <v>0</v>
      </c>
      <c r="H698" s="184">
        <v>0</v>
      </c>
      <c r="I698" s="184">
        <v>0</v>
      </c>
      <c r="J698" s="184">
        <v>0</v>
      </c>
      <c r="K698" s="184">
        <v>0</v>
      </c>
      <c r="L698" s="184">
        <v>0</v>
      </c>
      <c r="M698" s="654" t="s">
        <v>24</v>
      </c>
      <c r="N698" s="585" t="s">
        <v>91</v>
      </c>
      <c r="O698" s="642">
        <v>0</v>
      </c>
      <c r="P698" s="184">
        <v>1</v>
      </c>
      <c r="Q698" s="184">
        <v>2</v>
      </c>
      <c r="R698" s="184">
        <v>0</v>
      </c>
      <c r="S698" s="184">
        <v>3</v>
      </c>
      <c r="T698" s="184">
        <v>1</v>
      </c>
      <c r="U698" s="184">
        <v>3</v>
      </c>
      <c r="V698" s="184">
        <v>2</v>
      </c>
      <c r="W698" s="184">
        <v>0</v>
      </c>
      <c r="X698" s="184">
        <v>1</v>
      </c>
      <c r="Y698" s="184">
        <v>0</v>
      </c>
      <c r="Z698" s="184">
        <v>0</v>
      </c>
      <c r="AA698" s="184">
        <v>0</v>
      </c>
      <c r="AB698" s="184">
        <v>0</v>
      </c>
      <c r="AC698" s="185">
        <v>31.9</v>
      </c>
      <c r="AD698" s="185">
        <v>41.5</v>
      </c>
      <c r="AE698" s="184">
        <v>0</v>
      </c>
      <c r="AF698" s="185">
        <v>0</v>
      </c>
      <c r="AG698" s="184">
        <v>0</v>
      </c>
      <c r="AH698" s="185">
        <v>0</v>
      </c>
      <c r="AI698" s="184">
        <v>0</v>
      </c>
      <c r="AJ698" s="643">
        <v>0</v>
      </c>
    </row>
    <row r="699" spans="1:36" x14ac:dyDescent="0.2">
      <c r="A699" s="190" t="s">
        <v>92</v>
      </c>
      <c r="B699" s="642">
        <v>8</v>
      </c>
      <c r="C699" s="184">
        <v>0</v>
      </c>
      <c r="D699" s="184">
        <v>6</v>
      </c>
      <c r="E699" s="184">
        <v>0</v>
      </c>
      <c r="F699" s="184">
        <v>2</v>
      </c>
      <c r="G699" s="184">
        <v>0</v>
      </c>
      <c r="H699" s="184">
        <v>0</v>
      </c>
      <c r="I699" s="184">
        <v>0</v>
      </c>
      <c r="J699" s="184">
        <v>0</v>
      </c>
      <c r="K699" s="184">
        <v>0</v>
      </c>
      <c r="L699" s="184">
        <v>0</v>
      </c>
      <c r="M699" s="654" t="s">
        <v>24</v>
      </c>
      <c r="N699" s="585" t="s">
        <v>92</v>
      </c>
      <c r="O699" s="642">
        <v>0</v>
      </c>
      <c r="P699" s="184">
        <v>1</v>
      </c>
      <c r="Q699" s="184">
        <v>0</v>
      </c>
      <c r="R699" s="184">
        <v>0</v>
      </c>
      <c r="S699" s="184">
        <v>0</v>
      </c>
      <c r="T699" s="184">
        <v>2</v>
      </c>
      <c r="U699" s="184">
        <v>3</v>
      </c>
      <c r="V699" s="184">
        <v>1</v>
      </c>
      <c r="W699" s="184">
        <v>0</v>
      </c>
      <c r="X699" s="184">
        <v>1</v>
      </c>
      <c r="Y699" s="184">
        <v>0</v>
      </c>
      <c r="Z699" s="184">
        <v>0</v>
      </c>
      <c r="AA699" s="184">
        <v>0</v>
      </c>
      <c r="AB699" s="184">
        <v>0</v>
      </c>
      <c r="AC699" s="185">
        <v>34.9</v>
      </c>
      <c r="AD699" s="185" t="s">
        <v>24</v>
      </c>
      <c r="AE699" s="184">
        <v>0</v>
      </c>
      <c r="AF699" s="185">
        <v>0</v>
      </c>
      <c r="AG699" s="184">
        <v>0</v>
      </c>
      <c r="AH699" s="185">
        <v>0</v>
      </c>
      <c r="AI699" s="184">
        <v>0</v>
      </c>
      <c r="AJ699" s="643">
        <v>0</v>
      </c>
    </row>
    <row r="700" spans="1:36" x14ac:dyDescent="0.2">
      <c r="A700" s="190" t="s">
        <v>93</v>
      </c>
      <c r="B700" s="642">
        <v>5</v>
      </c>
      <c r="C700" s="184">
        <v>0</v>
      </c>
      <c r="D700" s="184">
        <v>5</v>
      </c>
      <c r="E700" s="184">
        <v>0</v>
      </c>
      <c r="F700" s="184">
        <v>0</v>
      </c>
      <c r="G700" s="184">
        <v>0</v>
      </c>
      <c r="H700" s="184">
        <v>0</v>
      </c>
      <c r="I700" s="184">
        <v>0</v>
      </c>
      <c r="J700" s="184">
        <v>0</v>
      </c>
      <c r="K700" s="184">
        <v>0</v>
      </c>
      <c r="L700" s="184">
        <v>0</v>
      </c>
      <c r="M700" s="654" t="s">
        <v>24</v>
      </c>
      <c r="N700" s="585" t="s">
        <v>93</v>
      </c>
      <c r="O700" s="642">
        <v>0</v>
      </c>
      <c r="P700" s="184">
        <v>0</v>
      </c>
      <c r="Q700" s="184">
        <v>1</v>
      </c>
      <c r="R700" s="184">
        <v>1</v>
      </c>
      <c r="S700" s="184">
        <v>1</v>
      </c>
      <c r="T700" s="184">
        <v>1</v>
      </c>
      <c r="U700" s="184">
        <v>0</v>
      </c>
      <c r="V700" s="184">
        <v>0</v>
      </c>
      <c r="W700" s="184">
        <v>1</v>
      </c>
      <c r="X700" s="184">
        <v>0</v>
      </c>
      <c r="Y700" s="184">
        <v>0</v>
      </c>
      <c r="Z700" s="184">
        <v>0</v>
      </c>
      <c r="AA700" s="184">
        <v>0</v>
      </c>
      <c r="AB700" s="184">
        <v>0</v>
      </c>
      <c r="AC700" s="185">
        <v>29</v>
      </c>
      <c r="AD700" s="185" t="s">
        <v>24</v>
      </c>
      <c r="AE700" s="184">
        <v>0</v>
      </c>
      <c r="AF700" s="185">
        <v>0</v>
      </c>
      <c r="AG700" s="184">
        <v>0</v>
      </c>
      <c r="AH700" s="185">
        <v>0</v>
      </c>
      <c r="AI700" s="184">
        <v>0</v>
      </c>
      <c r="AJ700" s="643">
        <v>0</v>
      </c>
    </row>
    <row r="701" spans="1:36" x14ac:dyDescent="0.2">
      <c r="A701" s="190" t="s">
        <v>57</v>
      </c>
      <c r="B701" s="642">
        <v>6</v>
      </c>
      <c r="C701" s="184">
        <v>0</v>
      </c>
      <c r="D701" s="184">
        <v>5</v>
      </c>
      <c r="E701" s="184">
        <v>0</v>
      </c>
      <c r="F701" s="184">
        <v>1</v>
      </c>
      <c r="G701" s="184">
        <v>0</v>
      </c>
      <c r="H701" s="184">
        <v>0</v>
      </c>
      <c r="I701" s="184">
        <v>0</v>
      </c>
      <c r="J701" s="184">
        <v>0</v>
      </c>
      <c r="K701" s="184">
        <v>0</v>
      </c>
      <c r="L701" s="184">
        <v>0</v>
      </c>
      <c r="M701" s="654" t="s">
        <v>24</v>
      </c>
      <c r="N701" s="585" t="s">
        <v>57</v>
      </c>
      <c r="O701" s="642">
        <v>0</v>
      </c>
      <c r="P701" s="184">
        <v>0</v>
      </c>
      <c r="Q701" s="184">
        <v>0</v>
      </c>
      <c r="R701" s="184">
        <v>1</v>
      </c>
      <c r="S701" s="184">
        <v>0</v>
      </c>
      <c r="T701" s="184">
        <v>1</v>
      </c>
      <c r="U701" s="184">
        <v>1</v>
      </c>
      <c r="V701" s="184">
        <v>3</v>
      </c>
      <c r="W701" s="184">
        <v>0</v>
      </c>
      <c r="X701" s="184">
        <v>0</v>
      </c>
      <c r="Y701" s="184">
        <v>0</v>
      </c>
      <c r="Z701" s="184">
        <v>0</v>
      </c>
      <c r="AA701" s="184">
        <v>0</v>
      </c>
      <c r="AB701" s="184">
        <v>0</v>
      </c>
      <c r="AC701" s="185">
        <v>36.4</v>
      </c>
      <c r="AD701" s="185" t="s">
        <v>24</v>
      </c>
      <c r="AE701" s="184">
        <v>0</v>
      </c>
      <c r="AF701" s="185">
        <v>0</v>
      </c>
      <c r="AG701" s="184">
        <v>0</v>
      </c>
      <c r="AH701" s="185">
        <v>0</v>
      </c>
      <c r="AI701" s="184">
        <v>0</v>
      </c>
      <c r="AJ701" s="643">
        <v>0</v>
      </c>
    </row>
    <row r="702" spans="1:36" x14ac:dyDescent="0.2">
      <c r="A702" s="190" t="s">
        <v>94</v>
      </c>
      <c r="B702" s="642">
        <v>12</v>
      </c>
      <c r="C702" s="184">
        <v>1</v>
      </c>
      <c r="D702" s="184">
        <v>9</v>
      </c>
      <c r="E702" s="184">
        <v>0</v>
      </c>
      <c r="F702" s="184">
        <v>2</v>
      </c>
      <c r="G702" s="184">
        <v>0</v>
      </c>
      <c r="H702" s="184">
        <v>0</v>
      </c>
      <c r="I702" s="184">
        <v>0</v>
      </c>
      <c r="J702" s="184">
        <v>0</v>
      </c>
      <c r="K702" s="184">
        <v>0</v>
      </c>
      <c r="L702" s="184">
        <v>0</v>
      </c>
      <c r="M702" s="654" t="s">
        <v>24</v>
      </c>
      <c r="N702" s="585" t="s">
        <v>94</v>
      </c>
      <c r="O702" s="642">
        <v>0</v>
      </c>
      <c r="P702" s="184">
        <v>0</v>
      </c>
      <c r="Q702" s="184">
        <v>0</v>
      </c>
      <c r="R702" s="184">
        <v>1</v>
      </c>
      <c r="S702" s="184">
        <v>0</v>
      </c>
      <c r="T702" s="184">
        <v>4</v>
      </c>
      <c r="U702" s="184">
        <v>0</v>
      </c>
      <c r="V702" s="184">
        <v>3</v>
      </c>
      <c r="W702" s="184">
        <v>3</v>
      </c>
      <c r="X702" s="184">
        <v>1</v>
      </c>
      <c r="Y702" s="184">
        <v>0</v>
      </c>
      <c r="Z702" s="184">
        <v>0</v>
      </c>
      <c r="AA702" s="184">
        <v>0</v>
      </c>
      <c r="AB702" s="184">
        <v>0</v>
      </c>
      <c r="AC702" s="185">
        <v>39.299999999999997</v>
      </c>
      <c r="AD702" s="185">
        <v>47.5</v>
      </c>
      <c r="AE702" s="184">
        <v>0</v>
      </c>
      <c r="AF702" s="185">
        <v>0</v>
      </c>
      <c r="AG702" s="184">
        <v>0</v>
      </c>
      <c r="AH702" s="185">
        <v>0</v>
      </c>
      <c r="AI702" s="184">
        <v>0</v>
      </c>
      <c r="AJ702" s="643">
        <v>0</v>
      </c>
    </row>
    <row r="703" spans="1:36" x14ac:dyDescent="0.2">
      <c r="A703" s="190" t="s">
        <v>95</v>
      </c>
      <c r="B703" s="642">
        <v>9</v>
      </c>
      <c r="C703" s="184">
        <v>0</v>
      </c>
      <c r="D703" s="184">
        <v>6</v>
      </c>
      <c r="E703" s="184">
        <v>1</v>
      </c>
      <c r="F703" s="184">
        <v>2</v>
      </c>
      <c r="G703" s="184">
        <v>0</v>
      </c>
      <c r="H703" s="184">
        <v>0</v>
      </c>
      <c r="I703" s="184">
        <v>0</v>
      </c>
      <c r="J703" s="184">
        <v>0</v>
      </c>
      <c r="K703" s="184">
        <v>0</v>
      </c>
      <c r="L703" s="184">
        <v>0</v>
      </c>
      <c r="M703" s="654" t="s">
        <v>24</v>
      </c>
      <c r="N703" s="585" t="s">
        <v>95</v>
      </c>
      <c r="O703" s="642">
        <v>0</v>
      </c>
      <c r="P703" s="184">
        <v>0</v>
      </c>
      <c r="Q703" s="184">
        <v>0</v>
      </c>
      <c r="R703" s="184">
        <v>0</v>
      </c>
      <c r="S703" s="184">
        <v>0</v>
      </c>
      <c r="T703" s="184">
        <v>4</v>
      </c>
      <c r="U703" s="184">
        <v>3</v>
      </c>
      <c r="V703" s="184">
        <v>2</v>
      </c>
      <c r="W703" s="184">
        <v>0</v>
      </c>
      <c r="X703" s="184">
        <v>0</v>
      </c>
      <c r="Y703" s="184">
        <v>0</v>
      </c>
      <c r="Z703" s="184">
        <v>0</v>
      </c>
      <c r="AA703" s="184">
        <v>0</v>
      </c>
      <c r="AB703" s="184">
        <v>0</v>
      </c>
      <c r="AC703" s="185">
        <v>37.1</v>
      </c>
      <c r="AD703" s="185" t="s">
        <v>24</v>
      </c>
      <c r="AE703" s="184">
        <v>0</v>
      </c>
      <c r="AF703" s="185">
        <v>0</v>
      </c>
      <c r="AG703" s="184">
        <v>0</v>
      </c>
      <c r="AH703" s="185">
        <v>0</v>
      </c>
      <c r="AI703" s="184">
        <v>0</v>
      </c>
      <c r="AJ703" s="643">
        <v>0</v>
      </c>
    </row>
    <row r="704" spans="1:36" x14ac:dyDescent="0.2">
      <c r="A704" s="190" t="s">
        <v>96</v>
      </c>
      <c r="B704" s="642">
        <v>14</v>
      </c>
      <c r="C704" s="184">
        <v>0</v>
      </c>
      <c r="D704" s="184">
        <v>9</v>
      </c>
      <c r="E704" s="184">
        <v>1</v>
      </c>
      <c r="F704" s="184">
        <v>3</v>
      </c>
      <c r="G704" s="184">
        <v>1</v>
      </c>
      <c r="H704" s="184">
        <v>0</v>
      </c>
      <c r="I704" s="184">
        <v>0</v>
      </c>
      <c r="J704" s="184">
        <v>0</v>
      </c>
      <c r="K704" s="184">
        <v>0</v>
      </c>
      <c r="L704" s="184">
        <v>0</v>
      </c>
      <c r="M704" s="654" t="s">
        <v>24</v>
      </c>
      <c r="N704" s="585" t="s">
        <v>96</v>
      </c>
      <c r="O704" s="642">
        <v>0</v>
      </c>
      <c r="P704" s="184">
        <v>0</v>
      </c>
      <c r="Q704" s="184">
        <v>0</v>
      </c>
      <c r="R704" s="184">
        <v>0</v>
      </c>
      <c r="S704" s="184">
        <v>0</v>
      </c>
      <c r="T704" s="184">
        <v>0</v>
      </c>
      <c r="U704" s="184">
        <v>5</v>
      </c>
      <c r="V704" s="184">
        <v>5</v>
      </c>
      <c r="W704" s="184">
        <v>1</v>
      </c>
      <c r="X704" s="184">
        <v>3</v>
      </c>
      <c r="Y704" s="184">
        <v>0</v>
      </c>
      <c r="Z704" s="184">
        <v>0</v>
      </c>
      <c r="AA704" s="184">
        <v>0</v>
      </c>
      <c r="AB704" s="184">
        <v>0</v>
      </c>
      <c r="AC704" s="185">
        <v>42.9</v>
      </c>
      <c r="AD704" s="185">
        <v>50.7</v>
      </c>
      <c r="AE704" s="184">
        <v>0</v>
      </c>
      <c r="AF704" s="185">
        <v>0</v>
      </c>
      <c r="AG704" s="184">
        <v>0</v>
      </c>
      <c r="AH704" s="185">
        <v>0</v>
      </c>
      <c r="AI704" s="184">
        <v>0</v>
      </c>
      <c r="AJ704" s="643">
        <v>0</v>
      </c>
    </row>
    <row r="705" spans="1:36" x14ac:dyDescent="0.2">
      <c r="A705" s="190" t="s">
        <v>58</v>
      </c>
      <c r="B705" s="642">
        <v>15</v>
      </c>
      <c r="C705" s="184">
        <v>0</v>
      </c>
      <c r="D705" s="184">
        <v>13</v>
      </c>
      <c r="E705" s="184">
        <v>1</v>
      </c>
      <c r="F705" s="184">
        <v>1</v>
      </c>
      <c r="G705" s="184">
        <v>0</v>
      </c>
      <c r="H705" s="184">
        <v>0</v>
      </c>
      <c r="I705" s="184">
        <v>0</v>
      </c>
      <c r="J705" s="184">
        <v>0</v>
      </c>
      <c r="K705" s="184">
        <v>0</v>
      </c>
      <c r="L705" s="184">
        <v>0</v>
      </c>
      <c r="M705" s="654" t="s">
        <v>24</v>
      </c>
      <c r="N705" s="585" t="s">
        <v>58</v>
      </c>
      <c r="O705" s="642">
        <v>0</v>
      </c>
      <c r="P705" s="184">
        <v>0</v>
      </c>
      <c r="Q705" s="184">
        <v>0</v>
      </c>
      <c r="R705" s="184">
        <v>0</v>
      </c>
      <c r="S705" s="184">
        <v>0</v>
      </c>
      <c r="T705" s="184">
        <v>1</v>
      </c>
      <c r="U705" s="184">
        <v>3</v>
      </c>
      <c r="V705" s="184">
        <v>8</v>
      </c>
      <c r="W705" s="184">
        <v>2</v>
      </c>
      <c r="X705" s="184">
        <v>1</v>
      </c>
      <c r="Y705" s="184">
        <v>0</v>
      </c>
      <c r="Z705" s="184">
        <v>0</v>
      </c>
      <c r="AA705" s="184">
        <v>0</v>
      </c>
      <c r="AB705" s="184">
        <v>0</v>
      </c>
      <c r="AC705" s="185">
        <v>42.7</v>
      </c>
      <c r="AD705" s="185">
        <v>47.7</v>
      </c>
      <c r="AE705" s="184">
        <v>0</v>
      </c>
      <c r="AF705" s="185">
        <v>0</v>
      </c>
      <c r="AG705" s="184">
        <v>0</v>
      </c>
      <c r="AH705" s="185">
        <v>0</v>
      </c>
      <c r="AI705" s="184">
        <v>0</v>
      </c>
      <c r="AJ705" s="643">
        <v>0</v>
      </c>
    </row>
    <row r="706" spans="1:36" x14ac:dyDescent="0.2">
      <c r="A706" s="190" t="s">
        <v>97</v>
      </c>
      <c r="B706" s="642">
        <v>9</v>
      </c>
      <c r="C706" s="184">
        <v>1</v>
      </c>
      <c r="D706" s="184">
        <v>8</v>
      </c>
      <c r="E706" s="184">
        <v>0</v>
      </c>
      <c r="F706" s="184">
        <v>0</v>
      </c>
      <c r="G706" s="184">
        <v>0</v>
      </c>
      <c r="H706" s="184">
        <v>0</v>
      </c>
      <c r="I706" s="184">
        <v>0</v>
      </c>
      <c r="J706" s="184">
        <v>0</v>
      </c>
      <c r="K706" s="184">
        <v>0</v>
      </c>
      <c r="L706" s="184">
        <v>0</v>
      </c>
      <c r="M706" s="654" t="s">
        <v>24</v>
      </c>
      <c r="N706" s="585" t="s">
        <v>97</v>
      </c>
      <c r="O706" s="642">
        <v>0</v>
      </c>
      <c r="P706" s="184">
        <v>1</v>
      </c>
      <c r="Q706" s="184">
        <v>0</v>
      </c>
      <c r="R706" s="184">
        <v>0</v>
      </c>
      <c r="S706" s="184">
        <v>0</v>
      </c>
      <c r="T706" s="184">
        <v>1</v>
      </c>
      <c r="U706" s="184">
        <v>0</v>
      </c>
      <c r="V706" s="184">
        <v>3</v>
      </c>
      <c r="W706" s="184">
        <v>3</v>
      </c>
      <c r="X706" s="184">
        <v>1</v>
      </c>
      <c r="Y706" s="184">
        <v>0</v>
      </c>
      <c r="Z706" s="184">
        <v>0</v>
      </c>
      <c r="AA706" s="184">
        <v>0</v>
      </c>
      <c r="AB706" s="184">
        <v>0</v>
      </c>
      <c r="AC706" s="185">
        <v>41</v>
      </c>
      <c r="AD706" s="185" t="s">
        <v>24</v>
      </c>
      <c r="AE706" s="184">
        <v>0</v>
      </c>
      <c r="AF706" s="185">
        <v>0</v>
      </c>
      <c r="AG706" s="184">
        <v>0</v>
      </c>
      <c r="AH706" s="185">
        <v>0</v>
      </c>
      <c r="AI706" s="184">
        <v>0</v>
      </c>
      <c r="AJ706" s="643">
        <v>0</v>
      </c>
    </row>
    <row r="707" spans="1:36" x14ac:dyDescent="0.2">
      <c r="A707" s="190" t="s">
        <v>98</v>
      </c>
      <c r="B707" s="642">
        <v>12</v>
      </c>
      <c r="C707" s="184">
        <v>0</v>
      </c>
      <c r="D707" s="184">
        <v>9</v>
      </c>
      <c r="E707" s="184">
        <v>2</v>
      </c>
      <c r="F707" s="184">
        <v>1</v>
      </c>
      <c r="G707" s="184">
        <v>0</v>
      </c>
      <c r="H707" s="184">
        <v>0</v>
      </c>
      <c r="I707" s="184">
        <v>0</v>
      </c>
      <c r="J707" s="184">
        <v>0</v>
      </c>
      <c r="K707" s="184">
        <v>0</v>
      </c>
      <c r="L707" s="184">
        <v>0</v>
      </c>
      <c r="M707" s="654" t="s">
        <v>24</v>
      </c>
      <c r="N707" s="585" t="s">
        <v>98</v>
      </c>
      <c r="O707" s="642">
        <v>0</v>
      </c>
      <c r="P707" s="184">
        <v>0</v>
      </c>
      <c r="Q707" s="184">
        <v>0</v>
      </c>
      <c r="R707" s="184">
        <v>0</v>
      </c>
      <c r="S707" s="184">
        <v>0</v>
      </c>
      <c r="T707" s="184">
        <v>2</v>
      </c>
      <c r="U707" s="184">
        <v>4</v>
      </c>
      <c r="V707" s="184">
        <v>3</v>
      </c>
      <c r="W707" s="184">
        <v>2</v>
      </c>
      <c r="X707" s="184">
        <v>1</v>
      </c>
      <c r="Y707" s="184">
        <v>0</v>
      </c>
      <c r="Z707" s="184">
        <v>0</v>
      </c>
      <c r="AA707" s="184">
        <v>0</v>
      </c>
      <c r="AB707" s="184">
        <v>0</v>
      </c>
      <c r="AC707" s="185">
        <v>40.9</v>
      </c>
      <c r="AD707" s="185">
        <v>48.9</v>
      </c>
      <c r="AE707" s="184">
        <v>0</v>
      </c>
      <c r="AF707" s="185">
        <v>0</v>
      </c>
      <c r="AG707" s="184">
        <v>0</v>
      </c>
      <c r="AH707" s="185">
        <v>0</v>
      </c>
      <c r="AI707" s="184">
        <v>0</v>
      </c>
      <c r="AJ707" s="643">
        <v>0</v>
      </c>
    </row>
    <row r="708" spans="1:36" x14ac:dyDescent="0.2">
      <c r="A708" s="190" t="s">
        <v>99</v>
      </c>
      <c r="B708" s="642">
        <v>12</v>
      </c>
      <c r="C708" s="184">
        <v>1</v>
      </c>
      <c r="D708" s="184">
        <v>9</v>
      </c>
      <c r="E708" s="184">
        <v>0</v>
      </c>
      <c r="F708" s="184">
        <v>2</v>
      </c>
      <c r="G708" s="184">
        <v>0</v>
      </c>
      <c r="H708" s="184">
        <v>0</v>
      </c>
      <c r="I708" s="184">
        <v>0</v>
      </c>
      <c r="J708" s="184">
        <v>0</v>
      </c>
      <c r="K708" s="184">
        <v>0</v>
      </c>
      <c r="L708" s="184">
        <v>0</v>
      </c>
      <c r="M708" s="654" t="s">
        <v>24</v>
      </c>
      <c r="N708" s="585" t="s">
        <v>99</v>
      </c>
      <c r="O708" s="642">
        <v>0</v>
      </c>
      <c r="P708" s="184">
        <v>0</v>
      </c>
      <c r="Q708" s="184">
        <v>1</v>
      </c>
      <c r="R708" s="184">
        <v>0</v>
      </c>
      <c r="S708" s="184">
        <v>0</v>
      </c>
      <c r="T708" s="184">
        <v>2</v>
      </c>
      <c r="U708" s="184">
        <v>3</v>
      </c>
      <c r="V708" s="184">
        <v>2</v>
      </c>
      <c r="W708" s="184">
        <v>1</v>
      </c>
      <c r="X708" s="184">
        <v>3</v>
      </c>
      <c r="Y708" s="184">
        <v>0</v>
      </c>
      <c r="Z708" s="184">
        <v>0</v>
      </c>
      <c r="AA708" s="184">
        <v>0</v>
      </c>
      <c r="AB708" s="184">
        <v>0</v>
      </c>
      <c r="AC708" s="185">
        <v>40.9</v>
      </c>
      <c r="AD708" s="185">
        <v>58.2</v>
      </c>
      <c r="AE708" s="184">
        <v>0</v>
      </c>
      <c r="AF708" s="185">
        <v>0</v>
      </c>
      <c r="AG708" s="184">
        <v>0</v>
      </c>
      <c r="AH708" s="185">
        <v>0</v>
      </c>
      <c r="AI708" s="184">
        <v>0</v>
      </c>
      <c r="AJ708" s="643">
        <v>0</v>
      </c>
    </row>
    <row r="709" spans="1:36" x14ac:dyDescent="0.2">
      <c r="A709" s="190" t="s">
        <v>60</v>
      </c>
      <c r="B709" s="642">
        <v>9</v>
      </c>
      <c r="C709" s="184">
        <v>0</v>
      </c>
      <c r="D709" s="184">
        <v>8</v>
      </c>
      <c r="E709" s="184">
        <v>0</v>
      </c>
      <c r="F709" s="184">
        <v>1</v>
      </c>
      <c r="G709" s="184">
        <v>0</v>
      </c>
      <c r="H709" s="184">
        <v>0</v>
      </c>
      <c r="I709" s="184">
        <v>0</v>
      </c>
      <c r="J709" s="184">
        <v>0</v>
      </c>
      <c r="K709" s="184">
        <v>0</v>
      </c>
      <c r="L709" s="184">
        <v>0</v>
      </c>
      <c r="M709" s="654" t="s">
        <v>24</v>
      </c>
      <c r="N709" s="585" t="s">
        <v>60</v>
      </c>
      <c r="O709" s="642">
        <v>0</v>
      </c>
      <c r="P709" s="184">
        <v>0</v>
      </c>
      <c r="Q709" s="184">
        <v>0</v>
      </c>
      <c r="R709" s="184">
        <v>0</v>
      </c>
      <c r="S709" s="184">
        <v>0</v>
      </c>
      <c r="T709" s="184">
        <v>3</v>
      </c>
      <c r="U709" s="184">
        <v>3</v>
      </c>
      <c r="V709" s="184">
        <v>2</v>
      </c>
      <c r="W709" s="184">
        <v>1</v>
      </c>
      <c r="X709" s="184">
        <v>0</v>
      </c>
      <c r="Y709" s="184">
        <v>0</v>
      </c>
      <c r="Z709" s="184">
        <v>0</v>
      </c>
      <c r="AA709" s="184">
        <v>0</v>
      </c>
      <c r="AB709" s="184">
        <v>0</v>
      </c>
      <c r="AC709" s="185">
        <v>38.299999999999997</v>
      </c>
      <c r="AD709" s="185" t="s">
        <v>24</v>
      </c>
      <c r="AE709" s="184">
        <v>0</v>
      </c>
      <c r="AF709" s="185">
        <v>0</v>
      </c>
      <c r="AG709" s="184">
        <v>0</v>
      </c>
      <c r="AH709" s="185">
        <v>0</v>
      </c>
      <c r="AI709" s="184">
        <v>0</v>
      </c>
      <c r="AJ709" s="643">
        <v>0</v>
      </c>
    </row>
    <row r="710" spans="1:36" x14ac:dyDescent="0.2">
      <c r="A710" s="190" t="s">
        <v>100</v>
      </c>
      <c r="B710" s="642">
        <v>10</v>
      </c>
      <c r="C710" s="184">
        <v>0</v>
      </c>
      <c r="D710" s="184">
        <v>9</v>
      </c>
      <c r="E710" s="184">
        <v>0</v>
      </c>
      <c r="F710" s="184">
        <v>1</v>
      </c>
      <c r="G710" s="184">
        <v>0</v>
      </c>
      <c r="H710" s="184">
        <v>0</v>
      </c>
      <c r="I710" s="184">
        <v>0</v>
      </c>
      <c r="J710" s="184">
        <v>0</v>
      </c>
      <c r="K710" s="184">
        <v>0</v>
      </c>
      <c r="L710" s="184">
        <v>0</v>
      </c>
      <c r="M710" s="654" t="s">
        <v>24</v>
      </c>
      <c r="N710" s="585" t="s">
        <v>100</v>
      </c>
      <c r="O710" s="642">
        <v>0</v>
      </c>
      <c r="P710" s="184">
        <v>0</v>
      </c>
      <c r="Q710" s="184">
        <v>0</v>
      </c>
      <c r="R710" s="184">
        <v>0</v>
      </c>
      <c r="S710" s="184">
        <v>0</v>
      </c>
      <c r="T710" s="184">
        <v>1</v>
      </c>
      <c r="U710" s="184">
        <v>3</v>
      </c>
      <c r="V710" s="184">
        <v>4</v>
      </c>
      <c r="W710" s="184">
        <v>2</v>
      </c>
      <c r="X710" s="184">
        <v>0</v>
      </c>
      <c r="Y710" s="184">
        <v>0</v>
      </c>
      <c r="Z710" s="184">
        <v>0</v>
      </c>
      <c r="AA710" s="184">
        <v>0</v>
      </c>
      <c r="AB710" s="184">
        <v>0</v>
      </c>
      <c r="AC710" s="185">
        <v>41.3</v>
      </c>
      <c r="AD710" s="185" t="s">
        <v>24</v>
      </c>
      <c r="AE710" s="184">
        <v>0</v>
      </c>
      <c r="AF710" s="185">
        <v>0</v>
      </c>
      <c r="AG710" s="184">
        <v>0</v>
      </c>
      <c r="AH710" s="185">
        <v>0</v>
      </c>
      <c r="AI710" s="184">
        <v>0</v>
      </c>
      <c r="AJ710" s="643">
        <v>0</v>
      </c>
    </row>
    <row r="711" spans="1:36" x14ac:dyDescent="0.2">
      <c r="A711" s="190" t="s">
        <v>101</v>
      </c>
      <c r="B711" s="642">
        <v>10</v>
      </c>
      <c r="C711" s="184">
        <v>0</v>
      </c>
      <c r="D711" s="184">
        <v>10</v>
      </c>
      <c r="E711" s="184">
        <v>0</v>
      </c>
      <c r="F711" s="184">
        <v>0</v>
      </c>
      <c r="G711" s="184">
        <v>0</v>
      </c>
      <c r="H711" s="184">
        <v>0</v>
      </c>
      <c r="I711" s="184">
        <v>0</v>
      </c>
      <c r="J711" s="184">
        <v>0</v>
      </c>
      <c r="K711" s="184">
        <v>0</v>
      </c>
      <c r="L711" s="184">
        <v>0</v>
      </c>
      <c r="M711" s="654" t="s">
        <v>24</v>
      </c>
      <c r="N711" s="585" t="s">
        <v>101</v>
      </c>
      <c r="O711" s="642">
        <v>0</v>
      </c>
      <c r="P711" s="184">
        <v>0</v>
      </c>
      <c r="Q711" s="184">
        <v>0</v>
      </c>
      <c r="R711" s="184">
        <v>0</v>
      </c>
      <c r="S711" s="184">
        <v>0</v>
      </c>
      <c r="T711" s="184">
        <v>1</v>
      </c>
      <c r="U711" s="184">
        <v>2</v>
      </c>
      <c r="V711" s="184">
        <v>4</v>
      </c>
      <c r="W711" s="184">
        <v>3</v>
      </c>
      <c r="X711" s="184">
        <v>0</v>
      </c>
      <c r="Y711" s="184">
        <v>0</v>
      </c>
      <c r="Z711" s="184">
        <v>0</v>
      </c>
      <c r="AA711" s="184">
        <v>0</v>
      </c>
      <c r="AB711" s="184">
        <v>0</v>
      </c>
      <c r="AC711" s="185">
        <v>41.5</v>
      </c>
      <c r="AD711" s="185" t="s">
        <v>24</v>
      </c>
      <c r="AE711" s="184">
        <v>0</v>
      </c>
      <c r="AF711" s="185">
        <v>0</v>
      </c>
      <c r="AG711" s="184">
        <v>0</v>
      </c>
      <c r="AH711" s="185">
        <v>0</v>
      </c>
      <c r="AI711" s="184">
        <v>0</v>
      </c>
      <c r="AJ711" s="643">
        <v>0</v>
      </c>
    </row>
    <row r="712" spans="1:36" x14ac:dyDescent="0.2">
      <c r="A712" s="190" t="s">
        <v>102</v>
      </c>
      <c r="B712" s="642">
        <v>7</v>
      </c>
      <c r="C712" s="184">
        <v>0</v>
      </c>
      <c r="D712" s="184">
        <v>6</v>
      </c>
      <c r="E712" s="184">
        <v>0</v>
      </c>
      <c r="F712" s="184">
        <v>1</v>
      </c>
      <c r="G712" s="184">
        <v>0</v>
      </c>
      <c r="H712" s="184">
        <v>0</v>
      </c>
      <c r="I712" s="184">
        <v>0</v>
      </c>
      <c r="J712" s="184">
        <v>0</v>
      </c>
      <c r="K712" s="184">
        <v>0</v>
      </c>
      <c r="L712" s="184">
        <v>0</v>
      </c>
      <c r="M712" s="654" t="s">
        <v>24</v>
      </c>
      <c r="N712" s="585" t="s">
        <v>102</v>
      </c>
      <c r="O712" s="642">
        <v>0</v>
      </c>
      <c r="P712" s="184">
        <v>0</v>
      </c>
      <c r="Q712" s="184">
        <v>0</v>
      </c>
      <c r="R712" s="184">
        <v>0</v>
      </c>
      <c r="S712" s="184">
        <v>0</v>
      </c>
      <c r="T712" s="184">
        <v>0</v>
      </c>
      <c r="U712" s="184">
        <v>3</v>
      </c>
      <c r="V712" s="184">
        <v>0</v>
      </c>
      <c r="W712" s="184">
        <v>1</v>
      </c>
      <c r="X712" s="184">
        <v>2</v>
      </c>
      <c r="Y712" s="184">
        <v>0</v>
      </c>
      <c r="Z712" s="184">
        <v>1</v>
      </c>
      <c r="AA712" s="184">
        <v>0</v>
      </c>
      <c r="AB712" s="184">
        <v>0</v>
      </c>
      <c r="AC712" s="185">
        <v>48.8</v>
      </c>
      <c r="AD712" s="185" t="s">
        <v>24</v>
      </c>
      <c r="AE712" s="184">
        <v>1</v>
      </c>
      <c r="AF712" s="185">
        <v>14.285714285714285</v>
      </c>
      <c r="AG712" s="184">
        <v>1</v>
      </c>
      <c r="AH712" s="185">
        <v>14.285714285714285</v>
      </c>
      <c r="AI712" s="184">
        <v>1</v>
      </c>
      <c r="AJ712" s="643">
        <v>14.285714285714285</v>
      </c>
    </row>
    <row r="713" spans="1:36" x14ac:dyDescent="0.2">
      <c r="A713" s="190" t="s">
        <v>62</v>
      </c>
      <c r="B713" s="642">
        <v>9</v>
      </c>
      <c r="C713" s="184">
        <v>1</v>
      </c>
      <c r="D713" s="184">
        <v>4</v>
      </c>
      <c r="E713" s="184">
        <v>0</v>
      </c>
      <c r="F713" s="184">
        <v>4</v>
      </c>
      <c r="G713" s="184">
        <v>0</v>
      </c>
      <c r="H713" s="184">
        <v>0</v>
      </c>
      <c r="I713" s="184">
        <v>0</v>
      </c>
      <c r="J713" s="184">
        <v>0</v>
      </c>
      <c r="K713" s="184">
        <v>0</v>
      </c>
      <c r="L713" s="184">
        <v>0</v>
      </c>
      <c r="M713" s="654" t="s">
        <v>24</v>
      </c>
      <c r="N713" s="585" t="s">
        <v>62</v>
      </c>
      <c r="O713" s="642">
        <v>0</v>
      </c>
      <c r="P713" s="184">
        <v>0</v>
      </c>
      <c r="Q713" s="184">
        <v>0</v>
      </c>
      <c r="R713" s="184">
        <v>0</v>
      </c>
      <c r="S713" s="184">
        <v>1</v>
      </c>
      <c r="T713" s="184">
        <v>1</v>
      </c>
      <c r="U713" s="184">
        <v>1</v>
      </c>
      <c r="V713" s="184">
        <v>3</v>
      </c>
      <c r="W713" s="184">
        <v>1</v>
      </c>
      <c r="X713" s="184">
        <v>1</v>
      </c>
      <c r="Y713" s="184">
        <v>1</v>
      </c>
      <c r="Z713" s="184">
        <v>0</v>
      </c>
      <c r="AA713" s="184">
        <v>0</v>
      </c>
      <c r="AB713" s="184">
        <v>0</v>
      </c>
      <c r="AC713" s="185">
        <v>43.9</v>
      </c>
      <c r="AD713" s="185" t="s">
        <v>24</v>
      </c>
      <c r="AE713" s="184">
        <v>1</v>
      </c>
      <c r="AF713" s="185">
        <v>11.111111111111111</v>
      </c>
      <c r="AG713" s="184">
        <v>0</v>
      </c>
      <c r="AH713" s="185">
        <v>0</v>
      </c>
      <c r="AI713" s="184">
        <v>0</v>
      </c>
      <c r="AJ713" s="643">
        <v>0</v>
      </c>
    </row>
    <row r="714" spans="1:36" x14ac:dyDescent="0.2">
      <c r="A714" s="190" t="s">
        <v>103</v>
      </c>
      <c r="B714" s="642">
        <v>12</v>
      </c>
      <c r="C714" s="184">
        <v>0</v>
      </c>
      <c r="D714" s="184">
        <v>10</v>
      </c>
      <c r="E714" s="184">
        <v>1</v>
      </c>
      <c r="F714" s="184">
        <v>1</v>
      </c>
      <c r="G714" s="184">
        <v>0</v>
      </c>
      <c r="H714" s="184">
        <v>0</v>
      </c>
      <c r="I714" s="184">
        <v>0</v>
      </c>
      <c r="J714" s="184">
        <v>0</v>
      </c>
      <c r="K714" s="184">
        <v>0</v>
      </c>
      <c r="L714" s="184">
        <v>0</v>
      </c>
      <c r="M714" s="654" t="s">
        <v>24</v>
      </c>
      <c r="N714" s="585" t="s">
        <v>103</v>
      </c>
      <c r="O714" s="642">
        <v>0</v>
      </c>
      <c r="P714" s="184">
        <v>0</v>
      </c>
      <c r="Q714" s="184">
        <v>0</v>
      </c>
      <c r="R714" s="184">
        <v>0</v>
      </c>
      <c r="S714" s="184">
        <v>0</v>
      </c>
      <c r="T714" s="184">
        <v>2</v>
      </c>
      <c r="U714" s="184">
        <v>3</v>
      </c>
      <c r="V714" s="184">
        <v>5</v>
      </c>
      <c r="W714" s="184">
        <v>1</v>
      </c>
      <c r="X714" s="184">
        <v>1</v>
      </c>
      <c r="Y714" s="184">
        <v>0</v>
      </c>
      <c r="Z714" s="184">
        <v>0</v>
      </c>
      <c r="AA714" s="184">
        <v>0</v>
      </c>
      <c r="AB714" s="184">
        <v>0</v>
      </c>
      <c r="AC714" s="185">
        <v>41</v>
      </c>
      <c r="AD714" s="185">
        <v>49.1</v>
      </c>
      <c r="AE714" s="184">
        <v>0</v>
      </c>
      <c r="AF714" s="185">
        <v>0</v>
      </c>
      <c r="AG714" s="184">
        <v>0</v>
      </c>
      <c r="AH714" s="185">
        <v>0</v>
      </c>
      <c r="AI714" s="184">
        <v>0</v>
      </c>
      <c r="AJ714" s="643">
        <v>0</v>
      </c>
    </row>
    <row r="715" spans="1:36" x14ac:dyDescent="0.2">
      <c r="A715" s="190" t="s">
        <v>104</v>
      </c>
      <c r="B715" s="642">
        <v>14</v>
      </c>
      <c r="C715" s="184">
        <v>0</v>
      </c>
      <c r="D715" s="184">
        <v>10</v>
      </c>
      <c r="E715" s="184">
        <v>0</v>
      </c>
      <c r="F715" s="184">
        <v>4</v>
      </c>
      <c r="G715" s="184">
        <v>0</v>
      </c>
      <c r="H715" s="184">
        <v>0</v>
      </c>
      <c r="I715" s="184">
        <v>0</v>
      </c>
      <c r="J715" s="184">
        <v>0</v>
      </c>
      <c r="K715" s="184">
        <v>0</v>
      </c>
      <c r="L715" s="184">
        <v>0</v>
      </c>
      <c r="M715" s="654" t="s">
        <v>24</v>
      </c>
      <c r="N715" s="585" t="s">
        <v>104</v>
      </c>
      <c r="O715" s="642">
        <v>0</v>
      </c>
      <c r="P715" s="184">
        <v>0</v>
      </c>
      <c r="Q715" s="184">
        <v>0</v>
      </c>
      <c r="R715" s="184">
        <v>0</v>
      </c>
      <c r="S715" s="184">
        <v>0</v>
      </c>
      <c r="T715" s="184">
        <v>3</v>
      </c>
      <c r="U715" s="184">
        <v>1</v>
      </c>
      <c r="V715" s="184">
        <v>1</v>
      </c>
      <c r="W715" s="184">
        <v>4</v>
      </c>
      <c r="X715" s="184">
        <v>5</v>
      </c>
      <c r="Y715" s="184">
        <v>0</v>
      </c>
      <c r="Z715" s="184">
        <v>0</v>
      </c>
      <c r="AA715" s="184">
        <v>0</v>
      </c>
      <c r="AB715" s="184">
        <v>0</v>
      </c>
      <c r="AC715" s="185">
        <v>44.8</v>
      </c>
      <c r="AD715" s="185">
        <v>51.6</v>
      </c>
      <c r="AE715" s="184">
        <v>0</v>
      </c>
      <c r="AF715" s="185">
        <v>0</v>
      </c>
      <c r="AG715" s="184">
        <v>0</v>
      </c>
      <c r="AH715" s="185">
        <v>0</v>
      </c>
      <c r="AI715" s="184">
        <v>0</v>
      </c>
      <c r="AJ715" s="643">
        <v>0</v>
      </c>
    </row>
    <row r="716" spans="1:36" x14ac:dyDescent="0.2">
      <c r="A716" s="190" t="s">
        <v>105</v>
      </c>
      <c r="B716" s="642">
        <v>12</v>
      </c>
      <c r="C716" s="184">
        <v>0</v>
      </c>
      <c r="D716" s="184">
        <v>10</v>
      </c>
      <c r="E716" s="184">
        <v>0</v>
      </c>
      <c r="F716" s="184">
        <v>1</v>
      </c>
      <c r="G716" s="184">
        <v>0</v>
      </c>
      <c r="H716" s="184">
        <v>0</v>
      </c>
      <c r="I716" s="184">
        <v>1</v>
      </c>
      <c r="J716" s="184">
        <v>0</v>
      </c>
      <c r="K716" s="184">
        <v>0</v>
      </c>
      <c r="L716" s="184">
        <v>0</v>
      </c>
      <c r="M716" s="654" t="s">
        <v>24</v>
      </c>
      <c r="N716" s="585" t="s">
        <v>105</v>
      </c>
      <c r="O716" s="642">
        <v>0</v>
      </c>
      <c r="P716" s="184">
        <v>0</v>
      </c>
      <c r="Q716" s="184">
        <v>0</v>
      </c>
      <c r="R716" s="184">
        <v>0</v>
      </c>
      <c r="S716" s="184">
        <v>0</v>
      </c>
      <c r="T716" s="184">
        <v>3</v>
      </c>
      <c r="U716" s="184">
        <v>6</v>
      </c>
      <c r="V716" s="184">
        <v>2</v>
      </c>
      <c r="W716" s="184">
        <v>0</v>
      </c>
      <c r="X716" s="184">
        <v>0</v>
      </c>
      <c r="Y716" s="184">
        <v>1</v>
      </c>
      <c r="Z716" s="184">
        <v>0</v>
      </c>
      <c r="AA716" s="184">
        <v>0</v>
      </c>
      <c r="AB716" s="184">
        <v>0</v>
      </c>
      <c r="AC716" s="185">
        <v>39</v>
      </c>
      <c r="AD716" s="185">
        <v>41.8</v>
      </c>
      <c r="AE716" s="184">
        <v>1</v>
      </c>
      <c r="AF716" s="185">
        <v>8.3333333333333321</v>
      </c>
      <c r="AG716" s="184">
        <v>0</v>
      </c>
      <c r="AH716" s="185">
        <v>0</v>
      </c>
      <c r="AI716" s="184">
        <v>0</v>
      </c>
      <c r="AJ716" s="643">
        <v>0</v>
      </c>
    </row>
    <row r="717" spans="1:36" x14ac:dyDescent="0.2">
      <c r="A717" s="190" t="s">
        <v>64</v>
      </c>
      <c r="B717" s="642">
        <v>14</v>
      </c>
      <c r="C717" s="184">
        <v>2</v>
      </c>
      <c r="D717" s="184">
        <v>10</v>
      </c>
      <c r="E717" s="184">
        <v>0</v>
      </c>
      <c r="F717" s="184">
        <v>2</v>
      </c>
      <c r="G717" s="184">
        <v>0</v>
      </c>
      <c r="H717" s="184">
        <v>0</v>
      </c>
      <c r="I717" s="184">
        <v>0</v>
      </c>
      <c r="J717" s="184">
        <v>0</v>
      </c>
      <c r="K717" s="184">
        <v>0</v>
      </c>
      <c r="L717" s="184">
        <v>0</v>
      </c>
      <c r="M717" s="654" t="s">
        <v>24</v>
      </c>
      <c r="N717" s="585" t="s">
        <v>64</v>
      </c>
      <c r="O717" s="642">
        <v>1</v>
      </c>
      <c r="P717" s="184">
        <v>0</v>
      </c>
      <c r="Q717" s="184">
        <v>2</v>
      </c>
      <c r="R717" s="184">
        <v>1</v>
      </c>
      <c r="S717" s="184">
        <v>1</v>
      </c>
      <c r="T717" s="184">
        <v>0</v>
      </c>
      <c r="U717" s="184">
        <v>4</v>
      </c>
      <c r="V717" s="184">
        <v>3</v>
      </c>
      <c r="W717" s="184">
        <v>0</v>
      </c>
      <c r="X717" s="184">
        <v>2</v>
      </c>
      <c r="Y717" s="184">
        <v>0</v>
      </c>
      <c r="Z717" s="184">
        <v>0</v>
      </c>
      <c r="AA717" s="184">
        <v>0</v>
      </c>
      <c r="AB717" s="184">
        <v>0</v>
      </c>
      <c r="AC717" s="185">
        <v>34.9</v>
      </c>
      <c r="AD717" s="185">
        <v>52.5</v>
      </c>
      <c r="AE717" s="184">
        <v>0</v>
      </c>
      <c r="AF717" s="185">
        <v>0</v>
      </c>
      <c r="AG717" s="184">
        <v>0</v>
      </c>
      <c r="AH717" s="185">
        <v>0</v>
      </c>
      <c r="AI717" s="184">
        <v>0</v>
      </c>
      <c r="AJ717" s="643">
        <v>0</v>
      </c>
    </row>
    <row r="718" spans="1:36" x14ac:dyDescent="0.2">
      <c r="A718" s="190" t="s">
        <v>106</v>
      </c>
      <c r="B718" s="642">
        <v>9</v>
      </c>
      <c r="C718" s="184">
        <v>0</v>
      </c>
      <c r="D718" s="184">
        <v>9</v>
      </c>
      <c r="E718" s="184">
        <v>0</v>
      </c>
      <c r="F718" s="184">
        <v>0</v>
      </c>
      <c r="G718" s="184">
        <v>0</v>
      </c>
      <c r="H718" s="184">
        <v>0</v>
      </c>
      <c r="I718" s="184">
        <v>0</v>
      </c>
      <c r="J718" s="184">
        <v>0</v>
      </c>
      <c r="K718" s="184">
        <v>0</v>
      </c>
      <c r="L718" s="184">
        <v>0</v>
      </c>
      <c r="M718" s="654" t="s">
        <v>24</v>
      </c>
      <c r="N718" s="585" t="s">
        <v>106</v>
      </c>
      <c r="O718" s="642">
        <v>0</v>
      </c>
      <c r="P718" s="184">
        <v>0</v>
      </c>
      <c r="Q718" s="184">
        <v>0</v>
      </c>
      <c r="R718" s="184">
        <v>0</v>
      </c>
      <c r="S718" s="184">
        <v>0</v>
      </c>
      <c r="T718" s="184">
        <v>1</v>
      </c>
      <c r="U718" s="184">
        <v>4</v>
      </c>
      <c r="V718" s="184">
        <v>2</v>
      </c>
      <c r="W718" s="184">
        <v>2</v>
      </c>
      <c r="X718" s="184">
        <v>0</v>
      </c>
      <c r="Y718" s="184">
        <v>0</v>
      </c>
      <c r="Z718" s="184">
        <v>0</v>
      </c>
      <c r="AA718" s="184">
        <v>0</v>
      </c>
      <c r="AB718" s="184">
        <v>0</v>
      </c>
      <c r="AC718" s="185">
        <v>39.4</v>
      </c>
      <c r="AD718" s="185" t="s">
        <v>24</v>
      </c>
      <c r="AE718" s="184">
        <v>0</v>
      </c>
      <c r="AF718" s="185">
        <v>0</v>
      </c>
      <c r="AG718" s="184">
        <v>0</v>
      </c>
      <c r="AH718" s="185">
        <v>0</v>
      </c>
      <c r="AI718" s="184">
        <v>0</v>
      </c>
      <c r="AJ718" s="643">
        <v>0</v>
      </c>
    </row>
    <row r="719" spans="1:36" x14ac:dyDescent="0.2">
      <c r="A719" s="190" t="s">
        <v>107</v>
      </c>
      <c r="B719" s="642">
        <v>20</v>
      </c>
      <c r="C719" s="184">
        <v>0</v>
      </c>
      <c r="D719" s="184">
        <v>18</v>
      </c>
      <c r="E719" s="184">
        <v>1</v>
      </c>
      <c r="F719" s="184">
        <v>1</v>
      </c>
      <c r="G719" s="184">
        <v>0</v>
      </c>
      <c r="H719" s="184">
        <v>0</v>
      </c>
      <c r="I719" s="184">
        <v>0</v>
      </c>
      <c r="J719" s="184">
        <v>0</v>
      </c>
      <c r="K719" s="184">
        <v>0</v>
      </c>
      <c r="L719" s="184">
        <v>0</v>
      </c>
      <c r="M719" s="654" t="s">
        <v>24</v>
      </c>
      <c r="N719" s="585" t="s">
        <v>107</v>
      </c>
      <c r="O719" s="642">
        <v>0</v>
      </c>
      <c r="P719" s="184">
        <v>0</v>
      </c>
      <c r="Q719" s="184">
        <v>0</v>
      </c>
      <c r="R719" s="184">
        <v>0</v>
      </c>
      <c r="S719" s="184">
        <v>1</v>
      </c>
      <c r="T719" s="184">
        <v>4</v>
      </c>
      <c r="U719" s="184">
        <v>2</v>
      </c>
      <c r="V719" s="184">
        <v>10</v>
      </c>
      <c r="W719" s="184">
        <v>2</v>
      </c>
      <c r="X719" s="184">
        <v>1</v>
      </c>
      <c r="Y719" s="184">
        <v>0</v>
      </c>
      <c r="Z719" s="184">
        <v>0</v>
      </c>
      <c r="AA719" s="184">
        <v>0</v>
      </c>
      <c r="AB719" s="184">
        <v>0</v>
      </c>
      <c r="AC719" s="185">
        <v>39.9</v>
      </c>
      <c r="AD719" s="185">
        <v>45.3</v>
      </c>
      <c r="AE719" s="184">
        <v>0</v>
      </c>
      <c r="AF719" s="185">
        <v>0</v>
      </c>
      <c r="AG719" s="184">
        <v>0</v>
      </c>
      <c r="AH719" s="185">
        <v>0</v>
      </c>
      <c r="AI719" s="184">
        <v>0</v>
      </c>
      <c r="AJ719" s="643">
        <v>0</v>
      </c>
    </row>
    <row r="720" spans="1:36" x14ac:dyDescent="0.2">
      <c r="A720" s="190" t="s">
        <v>108</v>
      </c>
      <c r="B720" s="642">
        <v>11</v>
      </c>
      <c r="C720" s="184">
        <v>0</v>
      </c>
      <c r="D720" s="184">
        <v>10</v>
      </c>
      <c r="E720" s="184">
        <v>0</v>
      </c>
      <c r="F720" s="184">
        <v>1</v>
      </c>
      <c r="G720" s="184">
        <v>0</v>
      </c>
      <c r="H720" s="184">
        <v>0</v>
      </c>
      <c r="I720" s="184">
        <v>0</v>
      </c>
      <c r="J720" s="184">
        <v>0</v>
      </c>
      <c r="K720" s="184">
        <v>0</v>
      </c>
      <c r="L720" s="184">
        <v>0</v>
      </c>
      <c r="M720" s="654" t="s">
        <v>24</v>
      </c>
      <c r="N720" s="585" t="s">
        <v>108</v>
      </c>
      <c r="O720" s="642">
        <v>0</v>
      </c>
      <c r="P720" s="184">
        <v>0</v>
      </c>
      <c r="Q720" s="184">
        <v>0</v>
      </c>
      <c r="R720" s="184">
        <v>0</v>
      </c>
      <c r="S720" s="184">
        <v>0</v>
      </c>
      <c r="T720" s="184">
        <v>2</v>
      </c>
      <c r="U720" s="184">
        <v>1</v>
      </c>
      <c r="V720" s="184">
        <v>4</v>
      </c>
      <c r="W720" s="184">
        <v>2</v>
      </c>
      <c r="X720" s="184">
        <v>2</v>
      </c>
      <c r="Y720" s="184">
        <v>0</v>
      </c>
      <c r="Z720" s="184">
        <v>0</v>
      </c>
      <c r="AA720" s="184">
        <v>0</v>
      </c>
      <c r="AB720" s="184">
        <v>0</v>
      </c>
      <c r="AC720" s="185">
        <v>43.7</v>
      </c>
      <c r="AD720" s="185">
        <v>54</v>
      </c>
      <c r="AE720" s="184">
        <v>0</v>
      </c>
      <c r="AF720" s="185">
        <v>0</v>
      </c>
      <c r="AG720" s="184">
        <v>0</v>
      </c>
      <c r="AH720" s="185">
        <v>0</v>
      </c>
      <c r="AI720" s="184">
        <v>0</v>
      </c>
      <c r="AJ720" s="643">
        <v>0</v>
      </c>
    </row>
    <row r="721" spans="1:36" x14ac:dyDescent="0.2">
      <c r="A721" s="190" t="s">
        <v>65</v>
      </c>
      <c r="B721" s="646">
        <v>17</v>
      </c>
      <c r="C721" s="186">
        <v>0</v>
      </c>
      <c r="D721" s="186">
        <v>16</v>
      </c>
      <c r="E721" s="186">
        <v>0</v>
      </c>
      <c r="F721" s="186">
        <v>1</v>
      </c>
      <c r="G721" s="186">
        <v>0</v>
      </c>
      <c r="H721" s="186">
        <v>0</v>
      </c>
      <c r="I721" s="186">
        <v>0</v>
      </c>
      <c r="J721" s="186">
        <v>0</v>
      </c>
      <c r="K721" s="186">
        <v>0</v>
      </c>
      <c r="L721" s="186">
        <v>0</v>
      </c>
      <c r="M721" s="656" t="s">
        <v>24</v>
      </c>
      <c r="N721" s="585" t="s">
        <v>65</v>
      </c>
      <c r="O721" s="646">
        <v>0</v>
      </c>
      <c r="P721" s="186">
        <v>0</v>
      </c>
      <c r="Q721" s="186">
        <v>0</v>
      </c>
      <c r="R721" s="186">
        <v>0</v>
      </c>
      <c r="S721" s="186">
        <v>0</v>
      </c>
      <c r="T721" s="186">
        <v>2</v>
      </c>
      <c r="U721" s="186">
        <v>6</v>
      </c>
      <c r="V721" s="186">
        <v>4</v>
      </c>
      <c r="W721" s="186">
        <v>4</v>
      </c>
      <c r="X721" s="186">
        <v>1</v>
      </c>
      <c r="Y721" s="186">
        <v>0</v>
      </c>
      <c r="Z721" s="186">
        <v>0</v>
      </c>
      <c r="AA721" s="186">
        <v>0</v>
      </c>
      <c r="AB721" s="186">
        <v>0</v>
      </c>
      <c r="AC721" s="187">
        <v>41.7</v>
      </c>
      <c r="AD721" s="187">
        <v>49.3</v>
      </c>
      <c r="AE721" s="186">
        <v>0</v>
      </c>
      <c r="AF721" s="187">
        <v>0</v>
      </c>
      <c r="AG721" s="186">
        <v>0</v>
      </c>
      <c r="AH721" s="187">
        <v>0</v>
      </c>
      <c r="AI721" s="186">
        <v>0</v>
      </c>
      <c r="AJ721" s="647">
        <v>0</v>
      </c>
    </row>
    <row r="722" spans="1:36" x14ac:dyDescent="0.2">
      <c r="A722" s="190" t="s">
        <v>109</v>
      </c>
      <c r="B722" s="642">
        <v>14</v>
      </c>
      <c r="C722" s="184">
        <v>0</v>
      </c>
      <c r="D722" s="184">
        <v>12</v>
      </c>
      <c r="E722" s="184">
        <v>0</v>
      </c>
      <c r="F722" s="184">
        <v>2</v>
      </c>
      <c r="G722" s="184">
        <v>0</v>
      </c>
      <c r="H722" s="184">
        <v>0</v>
      </c>
      <c r="I722" s="184">
        <v>0</v>
      </c>
      <c r="J722" s="184">
        <v>0</v>
      </c>
      <c r="K722" s="184">
        <v>0</v>
      </c>
      <c r="L722" s="184">
        <v>0</v>
      </c>
      <c r="M722" s="654" t="s">
        <v>24</v>
      </c>
      <c r="N722" s="585" t="s">
        <v>109</v>
      </c>
      <c r="O722" s="642">
        <v>0</v>
      </c>
      <c r="P722" s="184">
        <v>0</v>
      </c>
      <c r="Q722" s="184">
        <v>0</v>
      </c>
      <c r="R722" s="184">
        <v>0</v>
      </c>
      <c r="S722" s="184">
        <v>0</v>
      </c>
      <c r="T722" s="184">
        <v>4</v>
      </c>
      <c r="U722" s="184">
        <v>1</v>
      </c>
      <c r="V722" s="184">
        <v>5</v>
      </c>
      <c r="W722" s="184">
        <v>1</v>
      </c>
      <c r="X722" s="184">
        <v>2</v>
      </c>
      <c r="Y722" s="184">
        <v>1</v>
      </c>
      <c r="Z722" s="184">
        <v>0</v>
      </c>
      <c r="AA722" s="184">
        <v>0</v>
      </c>
      <c r="AB722" s="184">
        <v>0</v>
      </c>
      <c r="AC722" s="185">
        <v>41.6</v>
      </c>
      <c r="AD722" s="185">
        <v>50.7</v>
      </c>
      <c r="AE722" s="184">
        <v>1</v>
      </c>
      <c r="AF722" s="185">
        <v>7.1428571428571423</v>
      </c>
      <c r="AG722" s="184">
        <v>0</v>
      </c>
      <c r="AH722" s="185">
        <v>0</v>
      </c>
      <c r="AI722" s="184">
        <v>0</v>
      </c>
      <c r="AJ722" s="643">
        <v>0</v>
      </c>
    </row>
    <row r="723" spans="1:36" x14ac:dyDescent="0.2">
      <c r="A723" s="190" t="s">
        <v>110</v>
      </c>
      <c r="B723" s="642">
        <v>15</v>
      </c>
      <c r="C723" s="184">
        <v>0</v>
      </c>
      <c r="D723" s="184">
        <v>13</v>
      </c>
      <c r="E723" s="184">
        <v>0</v>
      </c>
      <c r="F723" s="184">
        <v>2</v>
      </c>
      <c r="G723" s="184">
        <v>0</v>
      </c>
      <c r="H723" s="184">
        <v>0</v>
      </c>
      <c r="I723" s="184">
        <v>0</v>
      </c>
      <c r="J723" s="184">
        <v>0</v>
      </c>
      <c r="K723" s="184">
        <v>0</v>
      </c>
      <c r="L723" s="184">
        <v>0</v>
      </c>
      <c r="M723" s="654" t="s">
        <v>24</v>
      </c>
      <c r="N723" s="585" t="s">
        <v>110</v>
      </c>
      <c r="O723" s="642">
        <v>0</v>
      </c>
      <c r="P723" s="184">
        <v>0</v>
      </c>
      <c r="Q723" s="184">
        <v>0</v>
      </c>
      <c r="R723" s="184">
        <v>0</v>
      </c>
      <c r="S723" s="184">
        <v>0</v>
      </c>
      <c r="T723" s="184">
        <v>0</v>
      </c>
      <c r="U723" s="184">
        <v>4</v>
      </c>
      <c r="V723" s="184">
        <v>2</v>
      </c>
      <c r="W723" s="184">
        <v>5</v>
      </c>
      <c r="X723" s="184">
        <v>4</v>
      </c>
      <c r="Y723" s="184">
        <v>0</v>
      </c>
      <c r="Z723" s="184">
        <v>0</v>
      </c>
      <c r="AA723" s="184">
        <v>0</v>
      </c>
      <c r="AB723" s="184">
        <v>0</v>
      </c>
      <c r="AC723" s="185">
        <v>45.6</v>
      </c>
      <c r="AD723" s="185">
        <v>53.4</v>
      </c>
      <c r="AE723" s="184">
        <v>0</v>
      </c>
      <c r="AF723" s="185">
        <v>0</v>
      </c>
      <c r="AG723" s="184">
        <v>0</v>
      </c>
      <c r="AH723" s="185">
        <v>0</v>
      </c>
      <c r="AI723" s="184">
        <v>0</v>
      </c>
      <c r="AJ723" s="643">
        <v>0</v>
      </c>
    </row>
    <row r="724" spans="1:36" x14ac:dyDescent="0.2">
      <c r="A724" s="190" t="s">
        <v>111</v>
      </c>
      <c r="B724" s="642">
        <v>17</v>
      </c>
      <c r="C724" s="184">
        <v>0</v>
      </c>
      <c r="D724" s="184">
        <v>14</v>
      </c>
      <c r="E724" s="184">
        <v>0</v>
      </c>
      <c r="F724" s="184">
        <v>3</v>
      </c>
      <c r="G724" s="184">
        <v>0</v>
      </c>
      <c r="H724" s="184">
        <v>0</v>
      </c>
      <c r="I724" s="184">
        <v>0</v>
      </c>
      <c r="J724" s="184">
        <v>0</v>
      </c>
      <c r="K724" s="184">
        <v>0</v>
      </c>
      <c r="L724" s="184">
        <v>0</v>
      </c>
      <c r="M724" s="654" t="s">
        <v>24</v>
      </c>
      <c r="N724" s="585" t="s">
        <v>111</v>
      </c>
      <c r="O724" s="642">
        <v>0</v>
      </c>
      <c r="P724" s="184">
        <v>0</v>
      </c>
      <c r="Q724" s="184">
        <v>0</v>
      </c>
      <c r="R724" s="184">
        <v>0</v>
      </c>
      <c r="S724" s="184">
        <v>0</v>
      </c>
      <c r="T724" s="184">
        <v>2</v>
      </c>
      <c r="U724" s="184">
        <v>6</v>
      </c>
      <c r="V724" s="184">
        <v>4</v>
      </c>
      <c r="W724" s="184">
        <v>2</v>
      </c>
      <c r="X724" s="184">
        <v>3</v>
      </c>
      <c r="Y724" s="184">
        <v>0</v>
      </c>
      <c r="Z724" s="184">
        <v>0</v>
      </c>
      <c r="AA724" s="184">
        <v>0</v>
      </c>
      <c r="AB724" s="184">
        <v>0</v>
      </c>
      <c r="AC724" s="185">
        <v>41.9</v>
      </c>
      <c r="AD724" s="185">
        <v>50.2</v>
      </c>
      <c r="AE724" s="184">
        <v>0</v>
      </c>
      <c r="AF724" s="185">
        <v>0</v>
      </c>
      <c r="AG724" s="184">
        <v>0</v>
      </c>
      <c r="AH724" s="185">
        <v>0</v>
      </c>
      <c r="AI724" s="184">
        <v>0</v>
      </c>
      <c r="AJ724" s="643">
        <v>0</v>
      </c>
    </row>
    <row r="725" spans="1:36" x14ac:dyDescent="0.2">
      <c r="A725" s="190" t="s">
        <v>67</v>
      </c>
      <c r="B725" s="642">
        <v>25</v>
      </c>
      <c r="C725" s="184">
        <v>0</v>
      </c>
      <c r="D725" s="184">
        <v>20</v>
      </c>
      <c r="E725" s="184">
        <v>0</v>
      </c>
      <c r="F725" s="184">
        <v>5</v>
      </c>
      <c r="G725" s="184">
        <v>0</v>
      </c>
      <c r="H725" s="184">
        <v>0</v>
      </c>
      <c r="I725" s="184">
        <v>0</v>
      </c>
      <c r="J725" s="184">
        <v>0</v>
      </c>
      <c r="K725" s="184">
        <v>0</v>
      </c>
      <c r="L725" s="184">
        <v>0</v>
      </c>
      <c r="M725" s="654" t="s">
        <v>24</v>
      </c>
      <c r="N725" s="585" t="s">
        <v>67</v>
      </c>
      <c r="O725" s="642">
        <v>0</v>
      </c>
      <c r="P725" s="184">
        <v>0</v>
      </c>
      <c r="Q725" s="184">
        <v>0</v>
      </c>
      <c r="R725" s="184">
        <v>0</v>
      </c>
      <c r="S725" s="184">
        <v>0</v>
      </c>
      <c r="T725" s="184">
        <v>2</v>
      </c>
      <c r="U725" s="184">
        <v>4</v>
      </c>
      <c r="V725" s="184">
        <v>7</v>
      </c>
      <c r="W725" s="184">
        <v>10</v>
      </c>
      <c r="X725" s="184">
        <v>2</v>
      </c>
      <c r="Y725" s="184">
        <v>0</v>
      </c>
      <c r="Z725" s="184">
        <v>0</v>
      </c>
      <c r="AA725" s="184">
        <v>0</v>
      </c>
      <c r="AB725" s="184">
        <v>0</v>
      </c>
      <c r="AC725" s="185">
        <v>44</v>
      </c>
      <c r="AD725" s="185">
        <v>48.9</v>
      </c>
      <c r="AE725" s="184">
        <v>0</v>
      </c>
      <c r="AF725" s="185">
        <v>0</v>
      </c>
      <c r="AG725" s="184">
        <v>0</v>
      </c>
      <c r="AH725" s="185">
        <v>0</v>
      </c>
      <c r="AI725" s="184">
        <v>0</v>
      </c>
      <c r="AJ725" s="643">
        <v>0</v>
      </c>
    </row>
    <row r="726" spans="1:36" x14ac:dyDescent="0.2">
      <c r="A726" s="190" t="s">
        <v>112</v>
      </c>
      <c r="B726" s="642">
        <v>21</v>
      </c>
      <c r="C726" s="184">
        <v>0</v>
      </c>
      <c r="D726" s="184">
        <v>20</v>
      </c>
      <c r="E726" s="184">
        <v>0</v>
      </c>
      <c r="F726" s="184">
        <v>1</v>
      </c>
      <c r="G726" s="184">
        <v>0</v>
      </c>
      <c r="H726" s="184">
        <v>0</v>
      </c>
      <c r="I726" s="184">
        <v>0</v>
      </c>
      <c r="J726" s="184">
        <v>0</v>
      </c>
      <c r="K726" s="184">
        <v>0</v>
      </c>
      <c r="L726" s="184">
        <v>0</v>
      </c>
      <c r="M726" s="654" t="s">
        <v>24</v>
      </c>
      <c r="N726" s="585" t="s">
        <v>112</v>
      </c>
      <c r="O726" s="642">
        <v>0</v>
      </c>
      <c r="P726" s="184">
        <v>0</v>
      </c>
      <c r="Q726" s="184">
        <v>0</v>
      </c>
      <c r="R726" s="184">
        <v>0</v>
      </c>
      <c r="S726" s="184">
        <v>0</v>
      </c>
      <c r="T726" s="184">
        <v>1</v>
      </c>
      <c r="U726" s="184">
        <v>2</v>
      </c>
      <c r="V726" s="184">
        <v>7</v>
      </c>
      <c r="W726" s="184">
        <v>6</v>
      </c>
      <c r="X726" s="184">
        <v>4</v>
      </c>
      <c r="Y726" s="184">
        <v>1</v>
      </c>
      <c r="Z726" s="184">
        <v>0</v>
      </c>
      <c r="AA726" s="184">
        <v>0</v>
      </c>
      <c r="AB726" s="184">
        <v>0</v>
      </c>
      <c r="AC726" s="185">
        <v>46.3</v>
      </c>
      <c r="AD726" s="185">
        <v>55.4</v>
      </c>
      <c r="AE726" s="184">
        <v>1</v>
      </c>
      <c r="AF726" s="185">
        <v>4.7619047619047619</v>
      </c>
      <c r="AG726" s="184">
        <v>0</v>
      </c>
      <c r="AH726" s="185">
        <v>0</v>
      </c>
      <c r="AI726" s="184">
        <v>0</v>
      </c>
      <c r="AJ726" s="643">
        <v>0</v>
      </c>
    </row>
    <row r="727" spans="1:36" x14ac:dyDescent="0.2">
      <c r="A727" s="190" t="s">
        <v>113</v>
      </c>
      <c r="B727" s="642">
        <v>37</v>
      </c>
      <c r="C727" s="184">
        <v>0</v>
      </c>
      <c r="D727" s="184">
        <v>35</v>
      </c>
      <c r="E727" s="184">
        <v>0</v>
      </c>
      <c r="F727" s="184">
        <v>2</v>
      </c>
      <c r="G727" s="184">
        <v>0</v>
      </c>
      <c r="H727" s="184">
        <v>0</v>
      </c>
      <c r="I727" s="184">
        <v>0</v>
      </c>
      <c r="J727" s="184">
        <v>0</v>
      </c>
      <c r="K727" s="184">
        <v>0</v>
      </c>
      <c r="L727" s="184">
        <v>0</v>
      </c>
      <c r="M727" s="654" t="s">
        <v>24</v>
      </c>
      <c r="N727" s="585" t="s">
        <v>113</v>
      </c>
      <c r="O727" s="642">
        <v>0</v>
      </c>
      <c r="P727" s="184">
        <v>0</v>
      </c>
      <c r="Q727" s="184">
        <v>0</v>
      </c>
      <c r="R727" s="184">
        <v>0</v>
      </c>
      <c r="S727" s="184">
        <v>0</v>
      </c>
      <c r="T727" s="184">
        <v>0</v>
      </c>
      <c r="U727" s="184">
        <v>3</v>
      </c>
      <c r="V727" s="184">
        <v>11</v>
      </c>
      <c r="W727" s="184">
        <v>17</v>
      </c>
      <c r="X727" s="184">
        <v>5</v>
      </c>
      <c r="Y727" s="184">
        <v>1</v>
      </c>
      <c r="Z727" s="184">
        <v>0</v>
      </c>
      <c r="AA727" s="184">
        <v>0</v>
      </c>
      <c r="AB727" s="184">
        <v>0</v>
      </c>
      <c r="AC727" s="185">
        <v>46.6</v>
      </c>
      <c r="AD727" s="185">
        <v>51.7</v>
      </c>
      <c r="AE727" s="184">
        <v>1</v>
      </c>
      <c r="AF727" s="185">
        <v>2.7027027027027026</v>
      </c>
      <c r="AG727" s="184">
        <v>0</v>
      </c>
      <c r="AH727" s="185">
        <v>0</v>
      </c>
      <c r="AI727" s="184">
        <v>0</v>
      </c>
      <c r="AJ727" s="643">
        <v>0</v>
      </c>
    </row>
    <row r="728" spans="1:36" x14ac:dyDescent="0.2">
      <c r="A728" s="190" t="s">
        <v>114</v>
      </c>
      <c r="B728" s="642">
        <v>28</v>
      </c>
      <c r="C728" s="184">
        <v>1</v>
      </c>
      <c r="D728" s="184">
        <v>25</v>
      </c>
      <c r="E728" s="184">
        <v>0</v>
      </c>
      <c r="F728" s="184">
        <v>2</v>
      </c>
      <c r="G728" s="184">
        <v>0</v>
      </c>
      <c r="H728" s="184">
        <v>0</v>
      </c>
      <c r="I728" s="184">
        <v>0</v>
      </c>
      <c r="J728" s="184">
        <v>0</v>
      </c>
      <c r="K728" s="184">
        <v>0</v>
      </c>
      <c r="L728" s="184">
        <v>0</v>
      </c>
      <c r="M728" s="654" t="s">
        <v>24</v>
      </c>
      <c r="N728" s="585" t="s">
        <v>114</v>
      </c>
      <c r="O728" s="642">
        <v>0</v>
      </c>
      <c r="P728" s="184">
        <v>0</v>
      </c>
      <c r="Q728" s="184">
        <v>0</v>
      </c>
      <c r="R728" s="184">
        <v>0</v>
      </c>
      <c r="S728" s="184">
        <v>0</v>
      </c>
      <c r="T728" s="184">
        <v>0</v>
      </c>
      <c r="U728" s="184">
        <v>4</v>
      </c>
      <c r="V728" s="184">
        <v>8</v>
      </c>
      <c r="W728" s="184">
        <v>8</v>
      </c>
      <c r="X728" s="184">
        <v>8</v>
      </c>
      <c r="Y728" s="184">
        <v>0</v>
      </c>
      <c r="Z728" s="184">
        <v>0</v>
      </c>
      <c r="AA728" s="184">
        <v>0</v>
      </c>
      <c r="AB728" s="184">
        <v>0</v>
      </c>
      <c r="AC728" s="185">
        <v>46.8</v>
      </c>
      <c r="AD728" s="185">
        <v>51.8</v>
      </c>
      <c r="AE728" s="184">
        <v>0</v>
      </c>
      <c r="AF728" s="185">
        <v>0</v>
      </c>
      <c r="AG728" s="184">
        <v>0</v>
      </c>
      <c r="AH728" s="185">
        <v>0</v>
      </c>
      <c r="AI728" s="184">
        <v>0</v>
      </c>
      <c r="AJ728" s="643">
        <v>0</v>
      </c>
    </row>
    <row r="729" spans="1:36" x14ac:dyDescent="0.2">
      <c r="A729" s="190" t="s">
        <v>69</v>
      </c>
      <c r="B729" s="646">
        <v>13</v>
      </c>
      <c r="C729" s="186">
        <v>0</v>
      </c>
      <c r="D729" s="186">
        <v>12</v>
      </c>
      <c r="E729" s="186">
        <v>0</v>
      </c>
      <c r="F729" s="186">
        <v>1</v>
      </c>
      <c r="G729" s="186">
        <v>0</v>
      </c>
      <c r="H729" s="186">
        <v>0</v>
      </c>
      <c r="I729" s="186">
        <v>0</v>
      </c>
      <c r="J729" s="186">
        <v>0</v>
      </c>
      <c r="K729" s="186">
        <v>0</v>
      </c>
      <c r="L729" s="186">
        <v>0</v>
      </c>
      <c r="M729" s="656" t="s">
        <v>24</v>
      </c>
      <c r="N729" s="585" t="s">
        <v>69</v>
      </c>
      <c r="O729" s="646">
        <v>0</v>
      </c>
      <c r="P729" s="186">
        <v>0</v>
      </c>
      <c r="Q729" s="186">
        <v>0</v>
      </c>
      <c r="R729" s="186">
        <v>0</v>
      </c>
      <c r="S729" s="186">
        <v>1</v>
      </c>
      <c r="T729" s="186">
        <v>1</v>
      </c>
      <c r="U729" s="186">
        <v>2</v>
      </c>
      <c r="V729" s="186">
        <v>2</v>
      </c>
      <c r="W729" s="186">
        <v>6</v>
      </c>
      <c r="X729" s="186">
        <v>1</v>
      </c>
      <c r="Y729" s="186">
        <v>0</v>
      </c>
      <c r="Z729" s="186">
        <v>0</v>
      </c>
      <c r="AA729" s="186">
        <v>0</v>
      </c>
      <c r="AB729" s="186">
        <v>0</v>
      </c>
      <c r="AC729" s="187">
        <v>42.9</v>
      </c>
      <c r="AD729" s="187">
        <v>48.6</v>
      </c>
      <c r="AE729" s="186">
        <v>0</v>
      </c>
      <c r="AF729" s="187">
        <v>0</v>
      </c>
      <c r="AG729" s="186">
        <v>0</v>
      </c>
      <c r="AH729" s="187">
        <v>0</v>
      </c>
      <c r="AI729" s="186">
        <v>0</v>
      </c>
      <c r="AJ729" s="647">
        <v>0</v>
      </c>
    </row>
    <row r="730" spans="1:36" x14ac:dyDescent="0.2">
      <c r="A730" s="190" t="s">
        <v>115</v>
      </c>
      <c r="B730" s="642">
        <v>14</v>
      </c>
      <c r="C730" s="184">
        <v>1</v>
      </c>
      <c r="D730" s="184">
        <v>12</v>
      </c>
      <c r="E730" s="184">
        <v>0</v>
      </c>
      <c r="F730" s="184">
        <v>1</v>
      </c>
      <c r="G730" s="184">
        <v>0</v>
      </c>
      <c r="H730" s="184">
        <v>0</v>
      </c>
      <c r="I730" s="184">
        <v>0</v>
      </c>
      <c r="J730" s="184">
        <v>0</v>
      </c>
      <c r="K730" s="184">
        <v>0</v>
      </c>
      <c r="L730" s="184">
        <v>0</v>
      </c>
      <c r="M730" s="654" t="s">
        <v>24</v>
      </c>
      <c r="N730" s="585" t="s">
        <v>115</v>
      </c>
      <c r="O730" s="642">
        <v>0</v>
      </c>
      <c r="P730" s="184">
        <v>0</v>
      </c>
      <c r="Q730" s="184">
        <v>0</v>
      </c>
      <c r="R730" s="184">
        <v>0</v>
      </c>
      <c r="S730" s="184">
        <v>0</v>
      </c>
      <c r="T730" s="184">
        <v>0</v>
      </c>
      <c r="U730" s="184">
        <v>1</v>
      </c>
      <c r="V730" s="184">
        <v>4</v>
      </c>
      <c r="W730" s="184">
        <v>4</v>
      </c>
      <c r="X730" s="184">
        <v>5</v>
      </c>
      <c r="Y730" s="184">
        <v>0</v>
      </c>
      <c r="Z730" s="184">
        <v>0</v>
      </c>
      <c r="AA730" s="184">
        <v>0</v>
      </c>
      <c r="AB730" s="184">
        <v>0</v>
      </c>
      <c r="AC730" s="185">
        <v>48.3</v>
      </c>
      <c r="AD730" s="185">
        <v>54.9</v>
      </c>
      <c r="AE730" s="184">
        <v>0</v>
      </c>
      <c r="AF730" s="185">
        <v>0</v>
      </c>
      <c r="AG730" s="184">
        <v>0</v>
      </c>
      <c r="AH730" s="185">
        <v>0</v>
      </c>
      <c r="AI730" s="184">
        <v>0</v>
      </c>
      <c r="AJ730" s="643">
        <v>0</v>
      </c>
    </row>
    <row r="731" spans="1:36" x14ac:dyDescent="0.2">
      <c r="A731" s="190" t="s">
        <v>116</v>
      </c>
      <c r="B731" s="642">
        <v>14</v>
      </c>
      <c r="C731" s="184">
        <v>0</v>
      </c>
      <c r="D731" s="184">
        <v>13</v>
      </c>
      <c r="E731" s="184">
        <v>0</v>
      </c>
      <c r="F731" s="184">
        <v>1</v>
      </c>
      <c r="G731" s="184">
        <v>0</v>
      </c>
      <c r="H731" s="184">
        <v>0</v>
      </c>
      <c r="I731" s="184">
        <v>0</v>
      </c>
      <c r="J731" s="184">
        <v>0</v>
      </c>
      <c r="K731" s="184">
        <v>0</v>
      </c>
      <c r="L731" s="184">
        <v>0</v>
      </c>
      <c r="M731" s="654" t="s">
        <v>24</v>
      </c>
      <c r="N731" s="585" t="s">
        <v>116</v>
      </c>
      <c r="O731" s="642">
        <v>0</v>
      </c>
      <c r="P731" s="184">
        <v>0</v>
      </c>
      <c r="Q731" s="184">
        <v>0</v>
      </c>
      <c r="R731" s="184">
        <v>0</v>
      </c>
      <c r="S731" s="184">
        <v>0</v>
      </c>
      <c r="T731" s="184">
        <v>2</v>
      </c>
      <c r="U731" s="184">
        <v>1</v>
      </c>
      <c r="V731" s="184">
        <v>3</v>
      </c>
      <c r="W731" s="184">
        <v>4</v>
      </c>
      <c r="X731" s="184">
        <v>4</v>
      </c>
      <c r="Y731" s="184">
        <v>0</v>
      </c>
      <c r="Z731" s="184">
        <v>0</v>
      </c>
      <c r="AA731" s="184">
        <v>0</v>
      </c>
      <c r="AB731" s="184">
        <v>0</v>
      </c>
      <c r="AC731" s="185">
        <v>45.3</v>
      </c>
      <c r="AD731" s="185">
        <v>55.1</v>
      </c>
      <c r="AE731" s="184">
        <v>0</v>
      </c>
      <c r="AF731" s="185">
        <v>0</v>
      </c>
      <c r="AG731" s="184">
        <v>0</v>
      </c>
      <c r="AH731" s="185">
        <v>0</v>
      </c>
      <c r="AI731" s="184">
        <v>0</v>
      </c>
      <c r="AJ731" s="643">
        <v>0</v>
      </c>
    </row>
    <row r="732" spans="1:36" ht="13.5" thickBot="1" x14ac:dyDescent="0.25">
      <c r="A732" s="190" t="s">
        <v>117</v>
      </c>
      <c r="B732" s="644">
        <v>15</v>
      </c>
      <c r="C732" s="188">
        <v>0</v>
      </c>
      <c r="D732" s="188">
        <v>14</v>
      </c>
      <c r="E732" s="188">
        <v>0</v>
      </c>
      <c r="F732" s="188">
        <v>1</v>
      </c>
      <c r="G732" s="188">
        <v>0</v>
      </c>
      <c r="H732" s="188">
        <v>0</v>
      </c>
      <c r="I732" s="188">
        <v>0</v>
      </c>
      <c r="J732" s="188">
        <v>0</v>
      </c>
      <c r="K732" s="188">
        <v>0</v>
      </c>
      <c r="L732" s="188">
        <v>0</v>
      </c>
      <c r="M732" s="655" t="s">
        <v>24</v>
      </c>
      <c r="N732" s="585" t="s">
        <v>117</v>
      </c>
      <c r="O732" s="644">
        <v>0</v>
      </c>
      <c r="P732" s="188">
        <v>0</v>
      </c>
      <c r="Q732" s="188">
        <v>0</v>
      </c>
      <c r="R732" s="188">
        <v>0</v>
      </c>
      <c r="S732" s="188">
        <v>0</v>
      </c>
      <c r="T732" s="188">
        <v>2</v>
      </c>
      <c r="U732" s="188">
        <v>6</v>
      </c>
      <c r="V732" s="188">
        <v>2</v>
      </c>
      <c r="W732" s="188">
        <v>3</v>
      </c>
      <c r="X732" s="188">
        <v>2</v>
      </c>
      <c r="Y732" s="188">
        <v>0</v>
      </c>
      <c r="Z732" s="188">
        <v>0</v>
      </c>
      <c r="AA732" s="188">
        <v>0</v>
      </c>
      <c r="AB732" s="188">
        <v>0</v>
      </c>
      <c r="AC732" s="189">
        <v>41.8</v>
      </c>
      <c r="AD732" s="189">
        <v>51.4</v>
      </c>
      <c r="AE732" s="188">
        <v>0</v>
      </c>
      <c r="AF732" s="189">
        <v>0</v>
      </c>
      <c r="AG732" s="188">
        <v>0</v>
      </c>
      <c r="AH732" s="189">
        <v>0</v>
      </c>
      <c r="AI732" s="188">
        <v>0</v>
      </c>
      <c r="AJ732" s="645">
        <v>0</v>
      </c>
    </row>
    <row r="733" spans="1:36" x14ac:dyDescent="0.2">
      <c r="A733" s="190" t="s">
        <v>71</v>
      </c>
      <c r="B733" s="642">
        <v>11</v>
      </c>
      <c r="C733" s="184">
        <v>0</v>
      </c>
      <c r="D733" s="184">
        <v>11</v>
      </c>
      <c r="E733" s="184">
        <v>0</v>
      </c>
      <c r="F733" s="184">
        <v>0</v>
      </c>
      <c r="G733" s="184">
        <v>0</v>
      </c>
      <c r="H733" s="184">
        <v>0</v>
      </c>
      <c r="I733" s="184">
        <v>0</v>
      </c>
      <c r="J733" s="184">
        <v>0</v>
      </c>
      <c r="K733" s="184">
        <v>0</v>
      </c>
      <c r="L733" s="184">
        <v>0</v>
      </c>
      <c r="M733" s="654" t="s">
        <v>24</v>
      </c>
      <c r="N733" s="585" t="s">
        <v>71</v>
      </c>
      <c r="O733" s="642">
        <v>0</v>
      </c>
      <c r="P733" s="184">
        <v>1</v>
      </c>
      <c r="Q733" s="184">
        <v>0</v>
      </c>
      <c r="R733" s="184">
        <v>0</v>
      </c>
      <c r="S733" s="184">
        <v>3</v>
      </c>
      <c r="T733" s="184">
        <v>0</v>
      </c>
      <c r="U733" s="184">
        <v>0</v>
      </c>
      <c r="V733" s="184">
        <v>1</v>
      </c>
      <c r="W733" s="184">
        <v>3</v>
      </c>
      <c r="X733" s="184">
        <v>3</v>
      </c>
      <c r="Y733" s="184">
        <v>0</v>
      </c>
      <c r="Z733" s="184">
        <v>0</v>
      </c>
      <c r="AA733" s="184">
        <v>0</v>
      </c>
      <c r="AB733" s="184">
        <v>0</v>
      </c>
      <c r="AC733" s="185">
        <v>40.4</v>
      </c>
      <c r="AD733" s="185">
        <v>55.4</v>
      </c>
      <c r="AE733" s="184">
        <v>0</v>
      </c>
      <c r="AF733" s="185">
        <v>0</v>
      </c>
      <c r="AG733" s="184">
        <v>0</v>
      </c>
      <c r="AH733" s="185">
        <v>0</v>
      </c>
      <c r="AI733" s="184">
        <v>0</v>
      </c>
      <c r="AJ733" s="643">
        <v>0</v>
      </c>
    </row>
    <row r="734" spans="1:36" x14ac:dyDescent="0.2">
      <c r="A734" s="190" t="s">
        <v>118</v>
      </c>
      <c r="B734" s="642">
        <v>10</v>
      </c>
      <c r="C734" s="184">
        <v>0</v>
      </c>
      <c r="D734" s="184">
        <v>9</v>
      </c>
      <c r="E734" s="184">
        <v>0</v>
      </c>
      <c r="F734" s="184">
        <v>1</v>
      </c>
      <c r="G734" s="184">
        <v>0</v>
      </c>
      <c r="H734" s="184">
        <v>0</v>
      </c>
      <c r="I734" s="184">
        <v>0</v>
      </c>
      <c r="J734" s="184">
        <v>0</v>
      </c>
      <c r="K734" s="184">
        <v>0</v>
      </c>
      <c r="L734" s="184">
        <v>0</v>
      </c>
      <c r="M734" s="654" t="s">
        <v>24</v>
      </c>
      <c r="N734" s="585" t="s">
        <v>118</v>
      </c>
      <c r="O734" s="642">
        <v>0</v>
      </c>
      <c r="P734" s="184">
        <v>0</v>
      </c>
      <c r="Q734" s="184">
        <v>0</v>
      </c>
      <c r="R734" s="184">
        <v>0</v>
      </c>
      <c r="S734" s="184">
        <v>1</v>
      </c>
      <c r="T734" s="184">
        <v>4</v>
      </c>
      <c r="U734" s="184">
        <v>4</v>
      </c>
      <c r="V734" s="184">
        <v>1</v>
      </c>
      <c r="W734" s="184">
        <v>0</v>
      </c>
      <c r="X734" s="184">
        <v>0</v>
      </c>
      <c r="Y734" s="184">
        <v>0</v>
      </c>
      <c r="Z734" s="184">
        <v>0</v>
      </c>
      <c r="AA734" s="184">
        <v>0</v>
      </c>
      <c r="AB734" s="184">
        <v>0</v>
      </c>
      <c r="AC734" s="185">
        <v>36</v>
      </c>
      <c r="AD734" s="185" t="s">
        <v>24</v>
      </c>
      <c r="AE734" s="184">
        <v>0</v>
      </c>
      <c r="AF734" s="185">
        <v>0</v>
      </c>
      <c r="AG734" s="184">
        <v>0</v>
      </c>
      <c r="AH734" s="185">
        <v>0</v>
      </c>
      <c r="AI734" s="184">
        <v>0</v>
      </c>
      <c r="AJ734" s="643">
        <v>0</v>
      </c>
    </row>
    <row r="735" spans="1:36" x14ac:dyDescent="0.2">
      <c r="A735" s="190" t="s">
        <v>119</v>
      </c>
      <c r="B735" s="642">
        <v>6</v>
      </c>
      <c r="C735" s="184">
        <v>0</v>
      </c>
      <c r="D735" s="184">
        <v>6</v>
      </c>
      <c r="E735" s="184">
        <v>0</v>
      </c>
      <c r="F735" s="184">
        <v>0</v>
      </c>
      <c r="G735" s="184">
        <v>0</v>
      </c>
      <c r="H735" s="184">
        <v>0</v>
      </c>
      <c r="I735" s="184">
        <v>0</v>
      </c>
      <c r="J735" s="184">
        <v>0</v>
      </c>
      <c r="K735" s="184">
        <v>0</v>
      </c>
      <c r="L735" s="184">
        <v>0</v>
      </c>
      <c r="M735" s="654" t="s">
        <v>24</v>
      </c>
      <c r="N735" s="585" t="s">
        <v>119</v>
      </c>
      <c r="O735" s="642">
        <v>0</v>
      </c>
      <c r="P735" s="184">
        <v>0</v>
      </c>
      <c r="Q735" s="184">
        <v>0</v>
      </c>
      <c r="R735" s="184">
        <v>0</v>
      </c>
      <c r="S735" s="184">
        <v>0</v>
      </c>
      <c r="T735" s="184">
        <v>3</v>
      </c>
      <c r="U735" s="184">
        <v>1</v>
      </c>
      <c r="V735" s="184">
        <v>2</v>
      </c>
      <c r="W735" s="184">
        <v>0</v>
      </c>
      <c r="X735" s="184">
        <v>0</v>
      </c>
      <c r="Y735" s="184">
        <v>0</v>
      </c>
      <c r="Z735" s="184">
        <v>0</v>
      </c>
      <c r="AA735" s="184">
        <v>0</v>
      </c>
      <c r="AB735" s="184">
        <v>0</v>
      </c>
      <c r="AC735" s="185">
        <v>36</v>
      </c>
      <c r="AD735" s="185" t="s">
        <v>24</v>
      </c>
      <c r="AE735" s="184">
        <v>0</v>
      </c>
      <c r="AF735" s="185">
        <v>0</v>
      </c>
      <c r="AG735" s="184">
        <v>0</v>
      </c>
      <c r="AH735" s="185">
        <v>0</v>
      </c>
      <c r="AI735" s="184">
        <v>0</v>
      </c>
      <c r="AJ735" s="643">
        <v>0</v>
      </c>
    </row>
    <row r="736" spans="1:36" x14ac:dyDescent="0.2">
      <c r="A736" s="190" t="s">
        <v>120</v>
      </c>
      <c r="B736" s="642">
        <v>5</v>
      </c>
      <c r="C736" s="184">
        <v>0</v>
      </c>
      <c r="D736" s="184">
        <v>5</v>
      </c>
      <c r="E736" s="184">
        <v>0</v>
      </c>
      <c r="F736" s="184">
        <v>0</v>
      </c>
      <c r="G736" s="184">
        <v>0</v>
      </c>
      <c r="H736" s="184">
        <v>0</v>
      </c>
      <c r="I736" s="184">
        <v>0</v>
      </c>
      <c r="J736" s="184">
        <v>0</v>
      </c>
      <c r="K736" s="184">
        <v>0</v>
      </c>
      <c r="L736" s="184">
        <v>0</v>
      </c>
      <c r="M736" s="654" t="s">
        <v>24</v>
      </c>
      <c r="N736" s="585" t="s">
        <v>120</v>
      </c>
      <c r="O736" s="642">
        <v>0</v>
      </c>
      <c r="P736" s="184">
        <v>0</v>
      </c>
      <c r="Q736" s="184">
        <v>0</v>
      </c>
      <c r="R736" s="184">
        <v>0</v>
      </c>
      <c r="S736" s="184">
        <v>0</v>
      </c>
      <c r="T736" s="184">
        <v>3</v>
      </c>
      <c r="U736" s="184">
        <v>1</v>
      </c>
      <c r="V736" s="184">
        <v>1</v>
      </c>
      <c r="W736" s="184">
        <v>0</v>
      </c>
      <c r="X736" s="184">
        <v>0</v>
      </c>
      <c r="Y736" s="184">
        <v>0</v>
      </c>
      <c r="Z736" s="184">
        <v>0</v>
      </c>
      <c r="AA736" s="184">
        <v>0</v>
      </c>
      <c r="AB736" s="184">
        <v>0</v>
      </c>
      <c r="AC736" s="185">
        <v>34.299999999999997</v>
      </c>
      <c r="AD736" s="185" t="s">
        <v>24</v>
      </c>
      <c r="AE736" s="184">
        <v>0</v>
      </c>
      <c r="AF736" s="185">
        <v>0</v>
      </c>
      <c r="AG736" s="184">
        <v>0</v>
      </c>
      <c r="AH736" s="185">
        <v>0</v>
      </c>
      <c r="AI736" s="184">
        <v>0</v>
      </c>
      <c r="AJ736" s="643">
        <v>0</v>
      </c>
    </row>
    <row r="737" spans="1:36" x14ac:dyDescent="0.2">
      <c r="A737" s="190" t="s">
        <v>72</v>
      </c>
      <c r="B737" s="642">
        <v>3</v>
      </c>
      <c r="C737" s="184">
        <v>0</v>
      </c>
      <c r="D737" s="184">
        <v>3</v>
      </c>
      <c r="E737" s="184">
        <v>0</v>
      </c>
      <c r="F737" s="184">
        <v>0</v>
      </c>
      <c r="G737" s="184">
        <v>0</v>
      </c>
      <c r="H737" s="184">
        <v>0</v>
      </c>
      <c r="I737" s="184">
        <v>0</v>
      </c>
      <c r="J737" s="184">
        <v>0</v>
      </c>
      <c r="K737" s="184">
        <v>0</v>
      </c>
      <c r="L737" s="184">
        <v>0</v>
      </c>
      <c r="M737" s="654" t="s">
        <v>24</v>
      </c>
      <c r="N737" s="585" t="s">
        <v>72</v>
      </c>
      <c r="O737" s="642">
        <v>0</v>
      </c>
      <c r="P737" s="184">
        <v>0</v>
      </c>
      <c r="Q737" s="184">
        <v>0</v>
      </c>
      <c r="R737" s="184">
        <v>0</v>
      </c>
      <c r="S737" s="184">
        <v>0</v>
      </c>
      <c r="T737" s="184">
        <v>2</v>
      </c>
      <c r="U737" s="184">
        <v>1</v>
      </c>
      <c r="V737" s="184">
        <v>0</v>
      </c>
      <c r="W737" s="184">
        <v>0</v>
      </c>
      <c r="X737" s="184">
        <v>0</v>
      </c>
      <c r="Y737" s="184">
        <v>0</v>
      </c>
      <c r="Z737" s="184">
        <v>0</v>
      </c>
      <c r="AA737" s="184">
        <v>0</v>
      </c>
      <c r="AB737" s="184">
        <v>0</v>
      </c>
      <c r="AC737" s="185">
        <v>33.4</v>
      </c>
      <c r="AD737" s="185" t="s">
        <v>24</v>
      </c>
      <c r="AE737" s="184">
        <v>0</v>
      </c>
      <c r="AF737" s="185">
        <v>0</v>
      </c>
      <c r="AG737" s="184">
        <v>0</v>
      </c>
      <c r="AH737" s="185">
        <v>0</v>
      </c>
      <c r="AI737" s="184">
        <v>0</v>
      </c>
      <c r="AJ737" s="643">
        <v>0</v>
      </c>
    </row>
    <row r="738" spans="1:36" x14ac:dyDescent="0.2">
      <c r="A738" s="190" t="s">
        <v>121</v>
      </c>
      <c r="B738" s="642">
        <v>4</v>
      </c>
      <c r="C738" s="184">
        <v>0</v>
      </c>
      <c r="D738" s="184">
        <v>3</v>
      </c>
      <c r="E738" s="184">
        <v>0</v>
      </c>
      <c r="F738" s="184">
        <v>1</v>
      </c>
      <c r="G738" s="184">
        <v>0</v>
      </c>
      <c r="H738" s="184">
        <v>0</v>
      </c>
      <c r="I738" s="184">
        <v>0</v>
      </c>
      <c r="J738" s="184">
        <v>0</v>
      </c>
      <c r="K738" s="184">
        <v>0</v>
      </c>
      <c r="L738" s="184">
        <v>0</v>
      </c>
      <c r="M738" s="654" t="s">
        <v>24</v>
      </c>
      <c r="N738" s="585" t="s">
        <v>121</v>
      </c>
      <c r="O738" s="642">
        <v>0</v>
      </c>
      <c r="P738" s="184">
        <v>0</v>
      </c>
      <c r="Q738" s="184">
        <v>0</v>
      </c>
      <c r="R738" s="184">
        <v>0</v>
      </c>
      <c r="S738" s="184">
        <v>0</v>
      </c>
      <c r="T738" s="184">
        <v>0</v>
      </c>
      <c r="U738" s="184">
        <v>2</v>
      </c>
      <c r="V738" s="184">
        <v>1</v>
      </c>
      <c r="W738" s="184">
        <v>1</v>
      </c>
      <c r="X738" s="184">
        <v>0</v>
      </c>
      <c r="Y738" s="184">
        <v>0</v>
      </c>
      <c r="Z738" s="184">
        <v>0</v>
      </c>
      <c r="AA738" s="184">
        <v>0</v>
      </c>
      <c r="AB738" s="184">
        <v>0</v>
      </c>
      <c r="AC738" s="185">
        <v>40.5</v>
      </c>
      <c r="AD738" s="185" t="s">
        <v>24</v>
      </c>
      <c r="AE738" s="184">
        <v>0</v>
      </c>
      <c r="AF738" s="185">
        <v>0</v>
      </c>
      <c r="AG738" s="184">
        <v>0</v>
      </c>
      <c r="AH738" s="185">
        <v>0</v>
      </c>
      <c r="AI738" s="184">
        <v>0</v>
      </c>
      <c r="AJ738" s="643">
        <v>0</v>
      </c>
    </row>
    <row r="739" spans="1:36" x14ac:dyDescent="0.2">
      <c r="A739" s="190" t="s">
        <v>122</v>
      </c>
      <c r="B739" s="642">
        <v>3</v>
      </c>
      <c r="C739" s="184">
        <v>0</v>
      </c>
      <c r="D739" s="184">
        <v>2</v>
      </c>
      <c r="E739" s="184">
        <v>0</v>
      </c>
      <c r="F739" s="184">
        <v>1</v>
      </c>
      <c r="G739" s="184">
        <v>0</v>
      </c>
      <c r="H739" s="184">
        <v>0</v>
      </c>
      <c r="I739" s="184">
        <v>0</v>
      </c>
      <c r="J739" s="184">
        <v>0</v>
      </c>
      <c r="K739" s="184">
        <v>0</v>
      </c>
      <c r="L739" s="184">
        <v>0</v>
      </c>
      <c r="M739" s="654" t="s">
        <v>24</v>
      </c>
      <c r="N739" s="585" t="s">
        <v>122</v>
      </c>
      <c r="O739" s="642">
        <v>0</v>
      </c>
      <c r="P739" s="184">
        <v>0</v>
      </c>
      <c r="Q739" s="184">
        <v>0</v>
      </c>
      <c r="R739" s="184">
        <v>0</v>
      </c>
      <c r="S739" s="184">
        <v>0</v>
      </c>
      <c r="T739" s="184">
        <v>0</v>
      </c>
      <c r="U739" s="184">
        <v>0</v>
      </c>
      <c r="V739" s="184">
        <v>1</v>
      </c>
      <c r="W739" s="184">
        <v>1</v>
      </c>
      <c r="X739" s="184">
        <v>0</v>
      </c>
      <c r="Y739" s="184">
        <v>0</v>
      </c>
      <c r="Z739" s="184">
        <v>0</v>
      </c>
      <c r="AA739" s="184">
        <v>1</v>
      </c>
      <c r="AB739" s="184">
        <v>0</v>
      </c>
      <c r="AC739" s="185">
        <v>57.8</v>
      </c>
      <c r="AD739" s="185" t="s">
        <v>24</v>
      </c>
      <c r="AE739" s="184">
        <v>1</v>
      </c>
      <c r="AF739" s="185">
        <v>33.333333333333329</v>
      </c>
      <c r="AG739" s="184">
        <v>1</v>
      </c>
      <c r="AH739" s="185">
        <v>33.333333333333329</v>
      </c>
      <c r="AI739" s="184">
        <v>1</v>
      </c>
      <c r="AJ739" s="643">
        <v>33.333333333333329</v>
      </c>
    </row>
    <row r="740" spans="1:36" x14ac:dyDescent="0.2">
      <c r="A740" s="190" t="s">
        <v>123</v>
      </c>
      <c r="B740" s="642">
        <v>7</v>
      </c>
      <c r="C740" s="184">
        <v>0</v>
      </c>
      <c r="D740" s="184">
        <v>7</v>
      </c>
      <c r="E740" s="184">
        <v>0</v>
      </c>
      <c r="F740" s="184">
        <v>0</v>
      </c>
      <c r="G740" s="184">
        <v>0</v>
      </c>
      <c r="H740" s="184">
        <v>0</v>
      </c>
      <c r="I740" s="184">
        <v>0</v>
      </c>
      <c r="J740" s="184">
        <v>0</v>
      </c>
      <c r="K740" s="184">
        <v>0</v>
      </c>
      <c r="L740" s="184">
        <v>0</v>
      </c>
      <c r="M740" s="654" t="s">
        <v>24</v>
      </c>
      <c r="N740" s="585" t="s">
        <v>123</v>
      </c>
      <c r="O740" s="642">
        <v>0</v>
      </c>
      <c r="P740" s="184">
        <v>0</v>
      </c>
      <c r="Q740" s="184">
        <v>0</v>
      </c>
      <c r="R740" s="184">
        <v>0</v>
      </c>
      <c r="S740" s="184">
        <v>0</v>
      </c>
      <c r="T740" s="184">
        <v>1</v>
      </c>
      <c r="U740" s="184">
        <v>2</v>
      </c>
      <c r="V740" s="184">
        <v>3</v>
      </c>
      <c r="W740" s="184">
        <v>1</v>
      </c>
      <c r="X740" s="184">
        <v>0</v>
      </c>
      <c r="Y740" s="184">
        <v>0</v>
      </c>
      <c r="Z740" s="184">
        <v>0</v>
      </c>
      <c r="AA740" s="184">
        <v>0</v>
      </c>
      <c r="AB740" s="184">
        <v>0</v>
      </c>
      <c r="AC740" s="185">
        <v>40</v>
      </c>
      <c r="AD740" s="185" t="s">
        <v>24</v>
      </c>
      <c r="AE740" s="184">
        <v>0</v>
      </c>
      <c r="AF740" s="185">
        <v>0</v>
      </c>
      <c r="AG740" s="184">
        <v>0</v>
      </c>
      <c r="AH740" s="185">
        <v>0</v>
      </c>
      <c r="AI740" s="184">
        <v>0</v>
      </c>
      <c r="AJ740" s="643">
        <v>0</v>
      </c>
    </row>
    <row r="741" spans="1:36" x14ac:dyDescent="0.2">
      <c r="A741" s="190" t="s">
        <v>74</v>
      </c>
      <c r="B741" s="642">
        <v>6</v>
      </c>
      <c r="C741" s="184">
        <v>0</v>
      </c>
      <c r="D741" s="184">
        <v>6</v>
      </c>
      <c r="E741" s="184">
        <v>0</v>
      </c>
      <c r="F741" s="184">
        <v>0</v>
      </c>
      <c r="G741" s="184">
        <v>0</v>
      </c>
      <c r="H741" s="184">
        <v>0</v>
      </c>
      <c r="I741" s="184">
        <v>0</v>
      </c>
      <c r="J741" s="184">
        <v>0</v>
      </c>
      <c r="K741" s="184">
        <v>0</v>
      </c>
      <c r="L741" s="184">
        <v>0</v>
      </c>
      <c r="M741" s="654" t="s">
        <v>24</v>
      </c>
      <c r="N741" s="585" t="s">
        <v>74</v>
      </c>
      <c r="O741" s="642">
        <v>0</v>
      </c>
      <c r="P741" s="184">
        <v>0</v>
      </c>
      <c r="Q741" s="184">
        <v>0</v>
      </c>
      <c r="R741" s="184">
        <v>0</v>
      </c>
      <c r="S741" s="184">
        <v>0</v>
      </c>
      <c r="T741" s="184">
        <v>0</v>
      </c>
      <c r="U741" s="184">
        <v>1</v>
      </c>
      <c r="V741" s="184">
        <v>5</v>
      </c>
      <c r="W741" s="184">
        <v>0</v>
      </c>
      <c r="X741" s="184">
        <v>0</v>
      </c>
      <c r="Y741" s="184">
        <v>0</v>
      </c>
      <c r="Z741" s="184">
        <v>0</v>
      </c>
      <c r="AA741" s="184">
        <v>0</v>
      </c>
      <c r="AB741" s="184">
        <v>0</v>
      </c>
      <c r="AC741" s="185">
        <v>41.9</v>
      </c>
      <c r="AD741" s="185" t="s">
        <v>24</v>
      </c>
      <c r="AE741" s="184">
        <v>0</v>
      </c>
      <c r="AF741" s="185">
        <v>0</v>
      </c>
      <c r="AG741" s="184">
        <v>0</v>
      </c>
      <c r="AH741" s="185">
        <v>0</v>
      </c>
      <c r="AI741" s="184">
        <v>0</v>
      </c>
      <c r="AJ741" s="643">
        <v>0</v>
      </c>
    </row>
    <row r="742" spans="1:36" x14ac:dyDescent="0.2">
      <c r="A742" s="190" t="s">
        <v>124</v>
      </c>
      <c r="B742" s="642">
        <v>8</v>
      </c>
      <c r="C742" s="184">
        <v>0</v>
      </c>
      <c r="D742" s="184">
        <v>8</v>
      </c>
      <c r="E742" s="184">
        <v>0</v>
      </c>
      <c r="F742" s="184">
        <v>0</v>
      </c>
      <c r="G742" s="184">
        <v>0</v>
      </c>
      <c r="H742" s="184">
        <v>0</v>
      </c>
      <c r="I742" s="184">
        <v>0</v>
      </c>
      <c r="J742" s="184">
        <v>0</v>
      </c>
      <c r="K742" s="184">
        <v>0</v>
      </c>
      <c r="L742" s="184">
        <v>0</v>
      </c>
      <c r="M742" s="654" t="s">
        <v>24</v>
      </c>
      <c r="N742" s="585" t="s">
        <v>124</v>
      </c>
      <c r="O742" s="642">
        <v>0</v>
      </c>
      <c r="P742" s="184">
        <v>0</v>
      </c>
      <c r="Q742" s="184">
        <v>0</v>
      </c>
      <c r="R742" s="184">
        <v>0</v>
      </c>
      <c r="S742" s="184">
        <v>0</v>
      </c>
      <c r="T742" s="184">
        <v>0</v>
      </c>
      <c r="U742" s="184">
        <v>1</v>
      </c>
      <c r="V742" s="184">
        <v>3</v>
      </c>
      <c r="W742" s="184">
        <v>1</v>
      </c>
      <c r="X742" s="184">
        <v>3</v>
      </c>
      <c r="Y742" s="184">
        <v>0</v>
      </c>
      <c r="Z742" s="184">
        <v>0</v>
      </c>
      <c r="AA742" s="184">
        <v>0</v>
      </c>
      <c r="AB742" s="184">
        <v>0</v>
      </c>
      <c r="AC742" s="185">
        <v>46.9</v>
      </c>
      <c r="AD742" s="185" t="s">
        <v>24</v>
      </c>
      <c r="AE742" s="184">
        <v>0</v>
      </c>
      <c r="AF742" s="185">
        <v>0</v>
      </c>
      <c r="AG742" s="184">
        <v>0</v>
      </c>
      <c r="AH742" s="185">
        <v>0</v>
      </c>
      <c r="AI742" s="184">
        <v>0</v>
      </c>
      <c r="AJ742" s="643">
        <v>0</v>
      </c>
    </row>
    <row r="743" spans="1:36" x14ac:dyDescent="0.2">
      <c r="A743" s="190" t="s">
        <v>125</v>
      </c>
      <c r="B743" s="642">
        <v>3</v>
      </c>
      <c r="C743" s="184">
        <v>0</v>
      </c>
      <c r="D743" s="184">
        <v>3</v>
      </c>
      <c r="E743" s="184">
        <v>0</v>
      </c>
      <c r="F743" s="184">
        <v>0</v>
      </c>
      <c r="G743" s="184">
        <v>0</v>
      </c>
      <c r="H743" s="184">
        <v>0</v>
      </c>
      <c r="I743" s="184">
        <v>0</v>
      </c>
      <c r="J743" s="184">
        <v>0</v>
      </c>
      <c r="K743" s="184">
        <v>0</v>
      </c>
      <c r="L743" s="184">
        <v>0</v>
      </c>
      <c r="M743" s="654" t="s">
        <v>24</v>
      </c>
      <c r="N743" s="585" t="s">
        <v>125</v>
      </c>
      <c r="O743" s="642">
        <v>0</v>
      </c>
      <c r="P743" s="184">
        <v>0</v>
      </c>
      <c r="Q743" s="184">
        <v>0</v>
      </c>
      <c r="R743" s="184">
        <v>0</v>
      </c>
      <c r="S743" s="184">
        <v>0</v>
      </c>
      <c r="T743" s="184">
        <v>1</v>
      </c>
      <c r="U743" s="184">
        <v>0</v>
      </c>
      <c r="V743" s="184">
        <v>0</v>
      </c>
      <c r="W743" s="184">
        <v>1</v>
      </c>
      <c r="X743" s="184">
        <v>1</v>
      </c>
      <c r="Y743" s="184">
        <v>0</v>
      </c>
      <c r="Z743" s="184">
        <v>0</v>
      </c>
      <c r="AA743" s="184">
        <v>0</v>
      </c>
      <c r="AB743" s="184">
        <v>0</v>
      </c>
      <c r="AC743" s="185">
        <v>43.6</v>
      </c>
      <c r="AD743" s="185" t="s">
        <v>24</v>
      </c>
      <c r="AE743" s="184">
        <v>0</v>
      </c>
      <c r="AF743" s="185">
        <v>0</v>
      </c>
      <c r="AG743" s="184">
        <v>0</v>
      </c>
      <c r="AH743" s="185">
        <v>0</v>
      </c>
      <c r="AI743" s="184">
        <v>0</v>
      </c>
      <c r="AJ743" s="643">
        <v>0</v>
      </c>
    </row>
    <row r="744" spans="1:36" x14ac:dyDescent="0.2">
      <c r="A744" s="190" t="s">
        <v>126</v>
      </c>
      <c r="B744" s="642">
        <v>2</v>
      </c>
      <c r="C744" s="184">
        <v>0</v>
      </c>
      <c r="D744" s="184">
        <v>2</v>
      </c>
      <c r="E744" s="184">
        <v>0</v>
      </c>
      <c r="F744" s="184">
        <v>0</v>
      </c>
      <c r="G744" s="184">
        <v>0</v>
      </c>
      <c r="H744" s="184">
        <v>0</v>
      </c>
      <c r="I744" s="184">
        <v>0</v>
      </c>
      <c r="J744" s="184">
        <v>0</v>
      </c>
      <c r="K744" s="184">
        <v>0</v>
      </c>
      <c r="L744" s="184">
        <v>0</v>
      </c>
      <c r="M744" s="654" t="s">
        <v>24</v>
      </c>
      <c r="N744" s="585" t="s">
        <v>126</v>
      </c>
      <c r="O744" s="642">
        <v>0</v>
      </c>
      <c r="P744" s="184">
        <v>0</v>
      </c>
      <c r="Q744" s="184">
        <v>0</v>
      </c>
      <c r="R744" s="184">
        <v>0</v>
      </c>
      <c r="S744" s="184">
        <v>0</v>
      </c>
      <c r="T744" s="184">
        <v>0</v>
      </c>
      <c r="U744" s="184">
        <v>1</v>
      </c>
      <c r="V744" s="184">
        <v>0</v>
      </c>
      <c r="W744" s="184">
        <v>0</v>
      </c>
      <c r="X744" s="184">
        <v>1</v>
      </c>
      <c r="Y744" s="184">
        <v>0</v>
      </c>
      <c r="Z744" s="184">
        <v>0</v>
      </c>
      <c r="AA744" s="184">
        <v>0</v>
      </c>
      <c r="AB744" s="184">
        <v>0</v>
      </c>
      <c r="AC744" s="185">
        <v>43.6</v>
      </c>
      <c r="AD744" s="185" t="s">
        <v>24</v>
      </c>
      <c r="AE744" s="184">
        <v>0</v>
      </c>
      <c r="AF744" s="185">
        <v>0</v>
      </c>
      <c r="AG744" s="184">
        <v>0</v>
      </c>
      <c r="AH744" s="185">
        <v>0</v>
      </c>
      <c r="AI744" s="184">
        <v>0</v>
      </c>
      <c r="AJ744" s="643">
        <v>0</v>
      </c>
    </row>
    <row r="745" spans="1:36" x14ac:dyDescent="0.2">
      <c r="A745" s="190" t="s">
        <v>76</v>
      </c>
      <c r="B745" s="642">
        <v>4</v>
      </c>
      <c r="C745" s="184">
        <v>0</v>
      </c>
      <c r="D745" s="184">
        <v>4</v>
      </c>
      <c r="E745" s="184">
        <v>0</v>
      </c>
      <c r="F745" s="184">
        <v>0</v>
      </c>
      <c r="G745" s="184">
        <v>0</v>
      </c>
      <c r="H745" s="184">
        <v>0</v>
      </c>
      <c r="I745" s="184">
        <v>0</v>
      </c>
      <c r="J745" s="184">
        <v>0</v>
      </c>
      <c r="K745" s="184">
        <v>0</v>
      </c>
      <c r="L745" s="184">
        <v>0</v>
      </c>
      <c r="M745" s="654" t="s">
        <v>24</v>
      </c>
      <c r="N745" s="585" t="s">
        <v>76</v>
      </c>
      <c r="O745" s="642">
        <v>0</v>
      </c>
      <c r="P745" s="184">
        <v>0</v>
      </c>
      <c r="Q745" s="184">
        <v>0</v>
      </c>
      <c r="R745" s="184">
        <v>0</v>
      </c>
      <c r="S745" s="184">
        <v>1</v>
      </c>
      <c r="T745" s="184">
        <v>0</v>
      </c>
      <c r="U745" s="184">
        <v>0</v>
      </c>
      <c r="V745" s="184">
        <v>1</v>
      </c>
      <c r="W745" s="184">
        <v>0</v>
      </c>
      <c r="X745" s="184">
        <v>0</v>
      </c>
      <c r="Y745" s="184">
        <v>2</v>
      </c>
      <c r="Z745" s="184">
        <v>0</v>
      </c>
      <c r="AA745" s="184">
        <v>0</v>
      </c>
      <c r="AB745" s="184">
        <v>0</v>
      </c>
      <c r="AC745" s="185">
        <v>49.4</v>
      </c>
      <c r="AD745" s="185" t="s">
        <v>24</v>
      </c>
      <c r="AE745" s="184">
        <v>2</v>
      </c>
      <c r="AF745" s="185">
        <v>50</v>
      </c>
      <c r="AG745" s="184">
        <v>0</v>
      </c>
      <c r="AH745" s="185">
        <v>0</v>
      </c>
      <c r="AI745" s="184">
        <v>0</v>
      </c>
      <c r="AJ745" s="643">
        <v>0</v>
      </c>
    </row>
    <row r="746" spans="1:36" x14ac:dyDescent="0.2">
      <c r="A746" s="190" t="s">
        <v>127</v>
      </c>
      <c r="B746" s="642">
        <v>1</v>
      </c>
      <c r="C746" s="184">
        <v>0</v>
      </c>
      <c r="D746" s="184">
        <v>1</v>
      </c>
      <c r="E746" s="184">
        <v>0</v>
      </c>
      <c r="F746" s="184">
        <v>0</v>
      </c>
      <c r="G746" s="184">
        <v>0</v>
      </c>
      <c r="H746" s="184">
        <v>0</v>
      </c>
      <c r="I746" s="184">
        <v>0</v>
      </c>
      <c r="J746" s="184">
        <v>0</v>
      </c>
      <c r="K746" s="184">
        <v>0</v>
      </c>
      <c r="L746" s="184">
        <v>0</v>
      </c>
      <c r="M746" s="654" t="s">
        <v>24</v>
      </c>
      <c r="N746" s="585" t="s">
        <v>127</v>
      </c>
      <c r="O746" s="642">
        <v>0</v>
      </c>
      <c r="P746" s="184">
        <v>0</v>
      </c>
      <c r="Q746" s="184">
        <v>0</v>
      </c>
      <c r="R746" s="184">
        <v>0</v>
      </c>
      <c r="S746" s="184">
        <v>0</v>
      </c>
      <c r="T746" s="184">
        <v>0</v>
      </c>
      <c r="U746" s="184">
        <v>0</v>
      </c>
      <c r="V746" s="184">
        <v>0</v>
      </c>
      <c r="W746" s="184">
        <v>1</v>
      </c>
      <c r="X746" s="184">
        <v>0</v>
      </c>
      <c r="Y746" s="184">
        <v>0</v>
      </c>
      <c r="Z746" s="184">
        <v>0</v>
      </c>
      <c r="AA746" s="184">
        <v>0</v>
      </c>
      <c r="AB746" s="184">
        <v>0</v>
      </c>
      <c r="AC746" s="185">
        <v>46.5</v>
      </c>
      <c r="AD746" s="185" t="s">
        <v>24</v>
      </c>
      <c r="AE746" s="184">
        <v>0</v>
      </c>
      <c r="AF746" s="185">
        <v>0</v>
      </c>
      <c r="AG746" s="184">
        <v>0</v>
      </c>
      <c r="AH746" s="185">
        <v>0</v>
      </c>
      <c r="AI746" s="184">
        <v>0</v>
      </c>
      <c r="AJ746" s="643">
        <v>0</v>
      </c>
    </row>
    <row r="747" spans="1:36" x14ac:dyDescent="0.2">
      <c r="A747" s="190" t="s">
        <v>128</v>
      </c>
      <c r="B747" s="642">
        <v>5</v>
      </c>
      <c r="C747" s="184">
        <v>0</v>
      </c>
      <c r="D747" s="184">
        <v>5</v>
      </c>
      <c r="E747" s="184">
        <v>0</v>
      </c>
      <c r="F747" s="184">
        <v>0</v>
      </c>
      <c r="G747" s="184">
        <v>0</v>
      </c>
      <c r="H747" s="184">
        <v>0</v>
      </c>
      <c r="I747" s="184">
        <v>0</v>
      </c>
      <c r="J747" s="184">
        <v>0</v>
      </c>
      <c r="K747" s="184">
        <v>0</v>
      </c>
      <c r="L747" s="184">
        <v>0</v>
      </c>
      <c r="M747" s="654" t="s">
        <v>24</v>
      </c>
      <c r="N747" s="585" t="s">
        <v>128</v>
      </c>
      <c r="O747" s="642">
        <v>0</v>
      </c>
      <c r="P747" s="184">
        <v>0</v>
      </c>
      <c r="Q747" s="184">
        <v>0</v>
      </c>
      <c r="R747" s="184">
        <v>0</v>
      </c>
      <c r="S747" s="184">
        <v>0</v>
      </c>
      <c r="T747" s="184">
        <v>0</v>
      </c>
      <c r="U747" s="184">
        <v>1</v>
      </c>
      <c r="V747" s="184">
        <v>1</v>
      </c>
      <c r="W747" s="184">
        <v>2</v>
      </c>
      <c r="X747" s="184">
        <v>1</v>
      </c>
      <c r="Y747" s="184">
        <v>0</v>
      </c>
      <c r="Z747" s="184">
        <v>0</v>
      </c>
      <c r="AA747" s="184">
        <v>0</v>
      </c>
      <c r="AB747" s="184">
        <v>0</v>
      </c>
      <c r="AC747" s="185">
        <v>45.9</v>
      </c>
      <c r="AD747" s="185" t="s">
        <v>24</v>
      </c>
      <c r="AE747" s="184">
        <v>0</v>
      </c>
      <c r="AF747" s="185">
        <v>0</v>
      </c>
      <c r="AG747" s="184">
        <v>0</v>
      </c>
      <c r="AH747" s="185">
        <v>0</v>
      </c>
      <c r="AI747" s="184">
        <v>0</v>
      </c>
      <c r="AJ747" s="643">
        <v>0</v>
      </c>
    </row>
    <row r="748" spans="1:36" x14ac:dyDescent="0.2">
      <c r="A748" s="190" t="s">
        <v>129</v>
      </c>
      <c r="B748" s="642">
        <v>4</v>
      </c>
      <c r="C748" s="184">
        <v>0</v>
      </c>
      <c r="D748" s="184">
        <v>3</v>
      </c>
      <c r="E748" s="184">
        <v>0</v>
      </c>
      <c r="F748" s="184">
        <v>1</v>
      </c>
      <c r="G748" s="184">
        <v>0</v>
      </c>
      <c r="H748" s="184">
        <v>0</v>
      </c>
      <c r="I748" s="184">
        <v>0</v>
      </c>
      <c r="J748" s="184">
        <v>0</v>
      </c>
      <c r="K748" s="184">
        <v>0</v>
      </c>
      <c r="L748" s="184">
        <v>0</v>
      </c>
      <c r="M748" s="654" t="s">
        <v>24</v>
      </c>
      <c r="N748" s="585" t="s">
        <v>129</v>
      </c>
      <c r="O748" s="642">
        <v>0</v>
      </c>
      <c r="P748" s="184">
        <v>0</v>
      </c>
      <c r="Q748" s="184">
        <v>0</v>
      </c>
      <c r="R748" s="184">
        <v>0</v>
      </c>
      <c r="S748" s="184">
        <v>0</v>
      </c>
      <c r="T748" s="184">
        <v>1</v>
      </c>
      <c r="U748" s="184">
        <v>0</v>
      </c>
      <c r="V748" s="184">
        <v>0</v>
      </c>
      <c r="W748" s="184">
        <v>2</v>
      </c>
      <c r="X748" s="184">
        <v>1</v>
      </c>
      <c r="Y748" s="184">
        <v>0</v>
      </c>
      <c r="Z748" s="184">
        <v>0</v>
      </c>
      <c r="AA748" s="184">
        <v>0</v>
      </c>
      <c r="AB748" s="184">
        <v>0</v>
      </c>
      <c r="AC748" s="185">
        <v>47.2</v>
      </c>
      <c r="AD748" s="185" t="s">
        <v>24</v>
      </c>
      <c r="AE748" s="184">
        <v>0</v>
      </c>
      <c r="AF748" s="185">
        <v>0</v>
      </c>
      <c r="AG748" s="184">
        <v>0</v>
      </c>
      <c r="AH748" s="185">
        <v>0</v>
      </c>
      <c r="AI748" s="184">
        <v>0</v>
      </c>
      <c r="AJ748" s="643">
        <v>0</v>
      </c>
    </row>
    <row r="749" spans="1:36" x14ac:dyDescent="0.2">
      <c r="A749" s="190" t="s">
        <v>78</v>
      </c>
      <c r="B749" s="642">
        <v>7</v>
      </c>
      <c r="C749" s="184">
        <v>0</v>
      </c>
      <c r="D749" s="184">
        <v>7</v>
      </c>
      <c r="E749" s="184">
        <v>0</v>
      </c>
      <c r="F749" s="184">
        <v>0</v>
      </c>
      <c r="G749" s="184">
        <v>0</v>
      </c>
      <c r="H749" s="184">
        <v>0</v>
      </c>
      <c r="I749" s="184">
        <v>0</v>
      </c>
      <c r="J749" s="184">
        <v>0</v>
      </c>
      <c r="K749" s="184">
        <v>0</v>
      </c>
      <c r="L749" s="184">
        <v>0</v>
      </c>
      <c r="M749" s="654" t="s">
        <v>24</v>
      </c>
      <c r="N749" s="585" t="s">
        <v>78</v>
      </c>
      <c r="O749" s="642">
        <v>0</v>
      </c>
      <c r="P749" s="184">
        <v>0</v>
      </c>
      <c r="Q749" s="184">
        <v>0</v>
      </c>
      <c r="R749" s="184">
        <v>0</v>
      </c>
      <c r="S749" s="184">
        <v>0</v>
      </c>
      <c r="T749" s="184">
        <v>3</v>
      </c>
      <c r="U749" s="184">
        <v>2</v>
      </c>
      <c r="V749" s="184">
        <v>0</v>
      </c>
      <c r="W749" s="184">
        <v>2</v>
      </c>
      <c r="X749" s="184">
        <v>0</v>
      </c>
      <c r="Y749" s="184">
        <v>0</v>
      </c>
      <c r="Z749" s="184">
        <v>0</v>
      </c>
      <c r="AA749" s="184">
        <v>0</v>
      </c>
      <c r="AB749" s="184">
        <v>0</v>
      </c>
      <c r="AC749" s="185">
        <v>37.6</v>
      </c>
      <c r="AD749" s="185" t="s">
        <v>24</v>
      </c>
      <c r="AE749" s="184">
        <v>0</v>
      </c>
      <c r="AF749" s="185">
        <v>0</v>
      </c>
      <c r="AG749" s="184">
        <v>0</v>
      </c>
      <c r="AH749" s="185">
        <v>0</v>
      </c>
      <c r="AI749" s="184">
        <v>0</v>
      </c>
      <c r="AJ749" s="643">
        <v>0</v>
      </c>
    </row>
    <row r="750" spans="1:36" x14ac:dyDescent="0.2">
      <c r="A750" s="190" t="s">
        <v>130</v>
      </c>
      <c r="B750" s="642">
        <v>0</v>
      </c>
      <c r="C750" s="184">
        <v>0</v>
      </c>
      <c r="D750" s="184">
        <v>0</v>
      </c>
      <c r="E750" s="184">
        <v>0</v>
      </c>
      <c r="F750" s="184">
        <v>0</v>
      </c>
      <c r="G750" s="184">
        <v>0</v>
      </c>
      <c r="H750" s="184">
        <v>0</v>
      </c>
      <c r="I750" s="184">
        <v>0</v>
      </c>
      <c r="J750" s="184">
        <v>0</v>
      </c>
      <c r="K750" s="184">
        <v>0</v>
      </c>
      <c r="L750" s="184">
        <v>0</v>
      </c>
      <c r="M750" s="654" t="s">
        <v>24</v>
      </c>
      <c r="N750" s="585" t="s">
        <v>130</v>
      </c>
      <c r="O750" s="642">
        <v>0</v>
      </c>
      <c r="P750" s="184">
        <v>0</v>
      </c>
      <c r="Q750" s="184">
        <v>0</v>
      </c>
      <c r="R750" s="184">
        <v>0</v>
      </c>
      <c r="S750" s="184">
        <v>0</v>
      </c>
      <c r="T750" s="184">
        <v>0</v>
      </c>
      <c r="U750" s="184">
        <v>0</v>
      </c>
      <c r="V750" s="184">
        <v>0</v>
      </c>
      <c r="W750" s="184">
        <v>0</v>
      </c>
      <c r="X750" s="184">
        <v>0</v>
      </c>
      <c r="Y750" s="184">
        <v>0</v>
      </c>
      <c r="Z750" s="184">
        <v>0</v>
      </c>
      <c r="AA750" s="184">
        <v>0</v>
      </c>
      <c r="AB750" s="184">
        <v>0</v>
      </c>
      <c r="AC750" s="185" t="s">
        <v>24</v>
      </c>
      <c r="AD750" s="185" t="s">
        <v>24</v>
      </c>
      <c r="AE750" s="184">
        <v>0</v>
      </c>
      <c r="AF750" s="185">
        <v>0</v>
      </c>
      <c r="AG750" s="184">
        <v>0</v>
      </c>
      <c r="AH750" s="185">
        <v>0</v>
      </c>
      <c r="AI750" s="184">
        <v>0</v>
      </c>
      <c r="AJ750" s="643">
        <v>0</v>
      </c>
    </row>
    <row r="751" spans="1:36" x14ac:dyDescent="0.2">
      <c r="A751" s="190" t="s">
        <v>131</v>
      </c>
      <c r="B751" s="642">
        <v>1</v>
      </c>
      <c r="C751" s="184">
        <v>0</v>
      </c>
      <c r="D751" s="184">
        <v>1</v>
      </c>
      <c r="E751" s="184">
        <v>0</v>
      </c>
      <c r="F751" s="184">
        <v>0</v>
      </c>
      <c r="G751" s="184">
        <v>0</v>
      </c>
      <c r="H751" s="184">
        <v>0</v>
      </c>
      <c r="I751" s="184">
        <v>0</v>
      </c>
      <c r="J751" s="184">
        <v>0</v>
      </c>
      <c r="K751" s="184">
        <v>0</v>
      </c>
      <c r="L751" s="184">
        <v>0</v>
      </c>
      <c r="M751" s="654" t="s">
        <v>24</v>
      </c>
      <c r="N751" s="585" t="s">
        <v>131</v>
      </c>
      <c r="O751" s="642">
        <v>0</v>
      </c>
      <c r="P751" s="184">
        <v>0</v>
      </c>
      <c r="Q751" s="184">
        <v>0</v>
      </c>
      <c r="R751" s="184">
        <v>0</v>
      </c>
      <c r="S751" s="184">
        <v>0</v>
      </c>
      <c r="T751" s="184">
        <v>0</v>
      </c>
      <c r="U751" s="184">
        <v>0</v>
      </c>
      <c r="V751" s="184">
        <v>0</v>
      </c>
      <c r="W751" s="184">
        <v>0</v>
      </c>
      <c r="X751" s="184">
        <v>1</v>
      </c>
      <c r="Y751" s="184">
        <v>0</v>
      </c>
      <c r="Z751" s="184">
        <v>0</v>
      </c>
      <c r="AA751" s="184">
        <v>0</v>
      </c>
      <c r="AB751" s="184">
        <v>0</v>
      </c>
      <c r="AC751" s="185">
        <v>54.4</v>
      </c>
      <c r="AD751" s="185" t="s">
        <v>24</v>
      </c>
      <c r="AE751" s="184">
        <v>0</v>
      </c>
      <c r="AF751" s="185">
        <v>0</v>
      </c>
      <c r="AG751" s="184">
        <v>0</v>
      </c>
      <c r="AH751" s="185">
        <v>0</v>
      </c>
      <c r="AI751" s="184">
        <v>0</v>
      </c>
      <c r="AJ751" s="643">
        <v>0</v>
      </c>
    </row>
    <row r="752" spans="1:36" x14ac:dyDescent="0.2">
      <c r="A752" s="190" t="s">
        <v>132</v>
      </c>
      <c r="B752" s="648">
        <v>0</v>
      </c>
      <c r="C752" s="649">
        <v>0</v>
      </c>
      <c r="D752" s="649">
        <v>0</v>
      </c>
      <c r="E752" s="649">
        <v>0</v>
      </c>
      <c r="F752" s="649">
        <v>0</v>
      </c>
      <c r="G752" s="649">
        <v>0</v>
      </c>
      <c r="H752" s="649">
        <v>0</v>
      </c>
      <c r="I752" s="649">
        <v>0</v>
      </c>
      <c r="J752" s="649">
        <v>0</v>
      </c>
      <c r="K752" s="649">
        <v>0</v>
      </c>
      <c r="L752" s="649">
        <v>0</v>
      </c>
      <c r="M752" s="657" t="s">
        <v>24</v>
      </c>
      <c r="N752" s="586" t="s">
        <v>132</v>
      </c>
      <c r="O752" s="648">
        <v>0</v>
      </c>
      <c r="P752" s="649">
        <v>0</v>
      </c>
      <c r="Q752" s="649">
        <v>0</v>
      </c>
      <c r="R752" s="649">
        <v>0</v>
      </c>
      <c r="S752" s="649">
        <v>0</v>
      </c>
      <c r="T752" s="649">
        <v>0</v>
      </c>
      <c r="U752" s="649">
        <v>0</v>
      </c>
      <c r="V752" s="649">
        <v>0</v>
      </c>
      <c r="W752" s="649">
        <v>0</v>
      </c>
      <c r="X752" s="649">
        <v>0</v>
      </c>
      <c r="Y752" s="649">
        <v>0</v>
      </c>
      <c r="Z752" s="649">
        <v>0</v>
      </c>
      <c r="AA752" s="649">
        <v>0</v>
      </c>
      <c r="AB752" s="649">
        <v>0</v>
      </c>
      <c r="AC752" s="650" t="s">
        <v>24</v>
      </c>
      <c r="AD752" s="650" t="s">
        <v>24</v>
      </c>
      <c r="AE752" s="649">
        <v>0</v>
      </c>
      <c r="AF752" s="650">
        <v>0</v>
      </c>
      <c r="AG752" s="649">
        <v>0</v>
      </c>
      <c r="AH752" s="650">
        <v>0</v>
      </c>
      <c r="AI752" s="649">
        <v>0</v>
      </c>
      <c r="AJ752" s="651">
        <v>0</v>
      </c>
    </row>
    <row r="753" spans="1:36" x14ac:dyDescent="0.2">
      <c r="A753" s="190" t="s">
        <v>133</v>
      </c>
      <c r="B753" s="590">
        <v>591</v>
      </c>
      <c r="C753" s="591">
        <v>11</v>
      </c>
      <c r="D753" s="591">
        <v>496</v>
      </c>
      <c r="E753" s="591">
        <v>7</v>
      </c>
      <c r="F753" s="591">
        <v>73</v>
      </c>
      <c r="G753" s="591">
        <v>2</v>
      </c>
      <c r="H753" s="591">
        <v>0</v>
      </c>
      <c r="I753" s="591">
        <v>2</v>
      </c>
      <c r="J753" s="591">
        <v>0</v>
      </c>
      <c r="K753" s="591">
        <v>0</v>
      </c>
      <c r="L753" s="591">
        <v>0</v>
      </c>
      <c r="M753" s="592" t="s">
        <v>24</v>
      </c>
      <c r="N753" s="584" t="s">
        <v>133</v>
      </c>
      <c r="O753" s="590">
        <v>1</v>
      </c>
      <c r="P753" s="591">
        <v>3</v>
      </c>
      <c r="Q753" s="591">
        <v>6</v>
      </c>
      <c r="R753" s="591">
        <v>8</v>
      </c>
      <c r="S753" s="591">
        <v>20</v>
      </c>
      <c r="T753" s="591">
        <v>81</v>
      </c>
      <c r="U753" s="591">
        <v>116</v>
      </c>
      <c r="V753" s="591">
        <v>154</v>
      </c>
      <c r="W753" s="591">
        <v>114</v>
      </c>
      <c r="X753" s="591">
        <v>79</v>
      </c>
      <c r="Y753" s="591">
        <v>8</v>
      </c>
      <c r="Z753" s="591">
        <v>1</v>
      </c>
      <c r="AA753" s="591">
        <v>0</v>
      </c>
      <c r="AB753" s="591">
        <v>0</v>
      </c>
      <c r="AC753" s="606">
        <v>40.477083333333333</v>
      </c>
      <c r="AD753" s="606">
        <v>50.210344827586212</v>
      </c>
      <c r="AE753" s="591">
        <v>9</v>
      </c>
      <c r="AF753" s="606">
        <v>1.4450680075680076</v>
      </c>
      <c r="AG753" s="591">
        <v>1</v>
      </c>
      <c r="AH753" s="606">
        <v>0.29761904761904762</v>
      </c>
      <c r="AI753" s="591">
        <v>1</v>
      </c>
      <c r="AJ753" s="607">
        <v>0.29761904761904762</v>
      </c>
    </row>
    <row r="754" spans="1:36" x14ac:dyDescent="0.2">
      <c r="A754" s="190" t="s">
        <v>134</v>
      </c>
      <c r="B754" s="593">
        <v>670</v>
      </c>
      <c r="C754" s="181">
        <v>12</v>
      </c>
      <c r="D754" s="181">
        <v>571</v>
      </c>
      <c r="E754" s="181">
        <v>7</v>
      </c>
      <c r="F754" s="181">
        <v>76</v>
      </c>
      <c r="G754" s="181">
        <v>2</v>
      </c>
      <c r="H754" s="181">
        <v>0</v>
      </c>
      <c r="I754" s="181">
        <v>2</v>
      </c>
      <c r="J754" s="181">
        <v>0</v>
      </c>
      <c r="K754" s="181">
        <v>0</v>
      </c>
      <c r="L754" s="181">
        <v>0</v>
      </c>
      <c r="M754" s="594" t="s">
        <v>24</v>
      </c>
      <c r="N754" s="585" t="s">
        <v>134</v>
      </c>
      <c r="O754" s="593">
        <v>1</v>
      </c>
      <c r="P754" s="181">
        <v>4</v>
      </c>
      <c r="Q754" s="181">
        <v>7</v>
      </c>
      <c r="R754" s="181">
        <v>8</v>
      </c>
      <c r="S754" s="181">
        <v>24</v>
      </c>
      <c r="T754" s="181">
        <v>96</v>
      </c>
      <c r="U754" s="181">
        <v>131</v>
      </c>
      <c r="V754" s="181">
        <v>176</v>
      </c>
      <c r="W754" s="181">
        <v>124</v>
      </c>
      <c r="X754" s="181">
        <v>89</v>
      </c>
      <c r="Y754" s="181">
        <v>8</v>
      </c>
      <c r="Z754" s="181">
        <v>1</v>
      </c>
      <c r="AA754" s="181">
        <v>1</v>
      </c>
      <c r="AB754" s="181">
        <v>0</v>
      </c>
      <c r="AC754" s="182">
        <v>40.767187500000013</v>
      </c>
      <c r="AD754" s="182">
        <v>50.38333333333334</v>
      </c>
      <c r="AE754" s="181">
        <v>10</v>
      </c>
      <c r="AF754" s="182">
        <v>1.6046343390093389</v>
      </c>
      <c r="AG754" s="181">
        <v>2</v>
      </c>
      <c r="AH754" s="182">
        <v>0.74404761904761896</v>
      </c>
      <c r="AI754" s="181">
        <v>2</v>
      </c>
      <c r="AJ754" s="608">
        <v>0.74404761904761896</v>
      </c>
    </row>
    <row r="755" spans="1:36" x14ac:dyDescent="0.2">
      <c r="A755" s="190" t="s">
        <v>135</v>
      </c>
      <c r="B755" s="593">
        <v>692</v>
      </c>
      <c r="C755" s="181">
        <v>12</v>
      </c>
      <c r="D755" s="181">
        <v>592</v>
      </c>
      <c r="E755" s="181">
        <v>7</v>
      </c>
      <c r="F755" s="181">
        <v>77</v>
      </c>
      <c r="G755" s="181">
        <v>2</v>
      </c>
      <c r="H755" s="181">
        <v>0</v>
      </c>
      <c r="I755" s="181">
        <v>2</v>
      </c>
      <c r="J755" s="181">
        <v>0</v>
      </c>
      <c r="K755" s="181">
        <v>0</v>
      </c>
      <c r="L755" s="181">
        <v>0</v>
      </c>
      <c r="M755" s="594" t="s">
        <v>24</v>
      </c>
      <c r="N755" s="585" t="s">
        <v>135</v>
      </c>
      <c r="O755" s="593">
        <v>1</v>
      </c>
      <c r="P755" s="181">
        <v>4</v>
      </c>
      <c r="Q755" s="181">
        <v>7</v>
      </c>
      <c r="R755" s="181">
        <v>8</v>
      </c>
      <c r="S755" s="181">
        <v>25</v>
      </c>
      <c r="T755" s="181">
        <v>100</v>
      </c>
      <c r="U755" s="181">
        <v>134</v>
      </c>
      <c r="V755" s="181">
        <v>178</v>
      </c>
      <c r="W755" s="181">
        <v>131</v>
      </c>
      <c r="X755" s="181">
        <v>92</v>
      </c>
      <c r="Y755" s="181">
        <v>10</v>
      </c>
      <c r="Z755" s="181">
        <v>1</v>
      </c>
      <c r="AA755" s="181">
        <v>1</v>
      </c>
      <c r="AB755" s="181">
        <v>0</v>
      </c>
      <c r="AC755" s="182">
        <v>41.287142857142868</v>
      </c>
      <c r="AD755" s="182">
        <v>50.38333333333334</v>
      </c>
      <c r="AE755" s="181">
        <v>12</v>
      </c>
      <c r="AF755" s="182">
        <v>2.1207860791194122</v>
      </c>
      <c r="AG755" s="181">
        <v>2</v>
      </c>
      <c r="AH755" s="182">
        <v>0.66137566137566128</v>
      </c>
      <c r="AI755" s="181">
        <v>2</v>
      </c>
      <c r="AJ755" s="608">
        <v>0.66137566137566128</v>
      </c>
    </row>
    <row r="756" spans="1:36" x14ac:dyDescent="0.2">
      <c r="A756" s="687" t="s">
        <v>136</v>
      </c>
      <c r="B756" s="595">
        <v>696</v>
      </c>
      <c r="C756" s="596">
        <v>12</v>
      </c>
      <c r="D756" s="596">
        <v>595</v>
      </c>
      <c r="E756" s="596">
        <v>7</v>
      </c>
      <c r="F756" s="596">
        <v>78</v>
      </c>
      <c r="G756" s="596">
        <v>2</v>
      </c>
      <c r="H756" s="596">
        <v>0</v>
      </c>
      <c r="I756" s="596">
        <v>2</v>
      </c>
      <c r="J756" s="596">
        <v>0</v>
      </c>
      <c r="K756" s="596">
        <v>0</v>
      </c>
      <c r="L756" s="596">
        <v>0</v>
      </c>
      <c r="M756" s="597" t="s">
        <v>24</v>
      </c>
      <c r="N756" s="586" t="s">
        <v>136</v>
      </c>
      <c r="O756" s="595">
        <v>1</v>
      </c>
      <c r="P756" s="596">
        <v>4</v>
      </c>
      <c r="Q756" s="596">
        <v>7</v>
      </c>
      <c r="R756" s="596">
        <v>8</v>
      </c>
      <c r="S756" s="596">
        <v>25</v>
      </c>
      <c r="T756" s="596">
        <v>100</v>
      </c>
      <c r="U756" s="596">
        <v>134</v>
      </c>
      <c r="V756" s="596">
        <v>181</v>
      </c>
      <c r="W756" s="596">
        <v>131</v>
      </c>
      <c r="X756" s="596">
        <v>93</v>
      </c>
      <c r="Y756" s="596">
        <v>10</v>
      </c>
      <c r="Z756" s="596">
        <v>1</v>
      </c>
      <c r="AA756" s="596">
        <v>1</v>
      </c>
      <c r="AB756" s="596">
        <v>0</v>
      </c>
      <c r="AC756" s="609">
        <v>41.39863013698632</v>
      </c>
      <c r="AD756" s="609">
        <v>50.38333333333334</v>
      </c>
      <c r="AE756" s="596">
        <v>12</v>
      </c>
      <c r="AF756" s="609">
        <v>1.5905895593395591</v>
      </c>
      <c r="AG756" s="596">
        <v>2</v>
      </c>
      <c r="AH756" s="609">
        <v>0.49603174603174599</v>
      </c>
      <c r="AI756" s="596">
        <v>2</v>
      </c>
      <c r="AJ756" s="610">
        <v>0.49603174603174599</v>
      </c>
    </row>
    <row r="757" spans="1:36" x14ac:dyDescent="0.2">
      <c r="A757" s="149"/>
    </row>
    <row r="758" spans="1:36" x14ac:dyDescent="0.2">
      <c r="A758" s="149"/>
    </row>
    <row r="759" spans="1:36" x14ac:dyDescent="0.2">
      <c r="A759" s="150"/>
      <c r="B759" s="65"/>
      <c r="C759" s="65"/>
      <c r="D759" s="65"/>
      <c r="E759" s="65"/>
      <c r="F759" s="65"/>
      <c r="G759" s="65"/>
      <c r="H759" s="65"/>
      <c r="I759" s="65"/>
      <c r="J759" s="65"/>
      <c r="K759" s="65"/>
      <c r="L759" s="65"/>
      <c r="M759" s="65"/>
      <c r="N759" s="235"/>
      <c r="O759" s="65"/>
      <c r="P759" s="65"/>
      <c r="Q759" s="65"/>
      <c r="R759" s="65"/>
      <c r="S759" s="65"/>
      <c r="T759" s="65"/>
      <c r="U759" s="65"/>
      <c r="V759" s="65"/>
      <c r="W759" s="65"/>
      <c r="X759" s="65"/>
      <c r="Y759" s="65"/>
      <c r="Z759" s="65"/>
      <c r="AA759" s="65"/>
      <c r="AB759" s="65"/>
      <c r="AC759" s="151"/>
      <c r="AD759" s="151"/>
      <c r="AE759" s="65"/>
      <c r="AF759" s="151"/>
      <c r="AG759" s="65"/>
      <c r="AH759" s="151"/>
      <c r="AI759" s="65"/>
      <c r="AJ759" s="151"/>
    </row>
    <row r="760" spans="1:36" x14ac:dyDescent="0.2">
      <c r="A760" s="149"/>
      <c r="B760" s="65"/>
      <c r="C760" s="65"/>
      <c r="D760" s="65"/>
      <c r="E760" s="65"/>
      <c r="F760" s="65"/>
      <c r="G760" s="65"/>
      <c r="H760" s="65"/>
      <c r="I760" s="65"/>
      <c r="J760" s="65"/>
      <c r="K760" s="65"/>
      <c r="L760" s="65"/>
      <c r="M760" s="65"/>
      <c r="N760" s="235"/>
      <c r="O760" s="65"/>
      <c r="P760" s="65"/>
      <c r="Q760" s="65"/>
      <c r="R760" s="65"/>
      <c r="S760" s="65"/>
      <c r="T760" s="65"/>
      <c r="U760" s="65"/>
      <c r="V760" s="65"/>
      <c r="W760" s="65"/>
      <c r="X760" s="65"/>
      <c r="Y760" s="65"/>
      <c r="Z760" s="65"/>
      <c r="AA760" s="65"/>
      <c r="AB760" s="65"/>
      <c r="AC760" s="151"/>
      <c r="AD760" s="151"/>
      <c r="AE760" s="65"/>
      <c r="AF760" s="151"/>
      <c r="AG760" s="65"/>
      <c r="AH760" s="151"/>
      <c r="AI760" s="65"/>
      <c r="AJ760" s="151"/>
    </row>
    <row r="761" spans="1:36" x14ac:dyDescent="0.2">
      <c r="A761" s="149"/>
      <c r="B761" s="65"/>
      <c r="C761" s="65"/>
      <c r="D761" s="65"/>
      <c r="E761" s="65"/>
      <c r="F761" s="65"/>
      <c r="G761" s="65"/>
      <c r="H761" s="65"/>
      <c r="I761" s="65"/>
      <c r="J761" s="65"/>
      <c r="K761" s="65"/>
      <c r="L761" s="65"/>
      <c r="M761" s="65"/>
      <c r="N761" s="235"/>
      <c r="O761" s="65"/>
      <c r="P761" s="65"/>
      <c r="Q761" s="65"/>
      <c r="R761" s="65"/>
      <c r="S761" s="65"/>
      <c r="T761" s="65"/>
      <c r="U761" s="65"/>
      <c r="V761" s="65"/>
      <c r="W761" s="65"/>
      <c r="X761" s="65"/>
      <c r="Y761" s="65"/>
      <c r="Z761" s="65"/>
      <c r="AA761" s="65"/>
      <c r="AB761" s="65"/>
      <c r="AC761" s="151"/>
      <c r="AD761" s="151"/>
      <c r="AE761" s="65"/>
      <c r="AF761" s="151"/>
      <c r="AG761" s="65"/>
      <c r="AH761" s="151"/>
      <c r="AI761" s="65"/>
      <c r="AJ761" s="151"/>
    </row>
    <row r="762" spans="1:36" x14ac:dyDescent="0.2">
      <c r="A762" s="149"/>
      <c r="B762" s="65"/>
      <c r="C762" s="65"/>
      <c r="D762" s="65"/>
      <c r="E762" s="65"/>
      <c r="F762" s="65"/>
      <c r="G762" s="65"/>
      <c r="H762" s="65"/>
      <c r="I762" s="65"/>
      <c r="J762" s="65"/>
      <c r="K762" s="65"/>
      <c r="L762" s="65"/>
      <c r="M762" s="65"/>
      <c r="N762" s="235"/>
      <c r="O762" s="65"/>
      <c r="P762" s="65"/>
      <c r="Q762" s="65"/>
      <c r="R762" s="65"/>
      <c r="S762" s="65"/>
      <c r="T762" s="65"/>
      <c r="U762" s="65"/>
      <c r="V762" s="65"/>
      <c r="W762" s="65"/>
      <c r="X762" s="65"/>
      <c r="Y762" s="65"/>
      <c r="Z762" s="65"/>
      <c r="AA762" s="65"/>
      <c r="AB762" s="65"/>
      <c r="AC762" s="151"/>
      <c r="AD762" s="151"/>
      <c r="AE762" s="65"/>
      <c r="AF762" s="151"/>
      <c r="AG762" s="65"/>
      <c r="AH762" s="151"/>
      <c r="AI762" s="65"/>
      <c r="AJ762" s="151"/>
    </row>
  </sheetData>
  <sheetProtection algorithmName="SHA-512" hashValue="ZFW+cXSwFdk9Jl5bJ40HEhejLrn5vR2JeVV6WbeLGB4RFE6ER2N9dCYdaBi9NL9jMalLJP3goZgrjss/nARNNA==" saltValue="sEVD1DtSfXGT+taclN337w==" spinCount="100000" sheet="1" objects="1" scenarios="1"/>
  <mergeCells count="19">
    <mergeCell ref="D3:M3"/>
    <mergeCell ref="D4:M4"/>
    <mergeCell ref="D5:M5"/>
    <mergeCell ref="D6:M6"/>
    <mergeCell ref="CD10:CJ10"/>
    <mergeCell ref="BR10:BX10"/>
    <mergeCell ref="G8:H8"/>
    <mergeCell ref="I8:L8"/>
    <mergeCell ref="AZ10:BF10"/>
    <mergeCell ref="BI10:BO10"/>
    <mergeCell ref="AS10:AW10"/>
    <mergeCell ref="D7:M7"/>
    <mergeCell ref="CY10:DC10"/>
    <mergeCell ref="CM141:CS141"/>
    <mergeCell ref="AS141:AW141"/>
    <mergeCell ref="AZ141:BF141"/>
    <mergeCell ref="BI141:BO141"/>
    <mergeCell ref="BR141:BX141"/>
    <mergeCell ref="CM10:CS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249977111117893"/>
  </sheetPr>
  <dimension ref="A1:DC762"/>
  <sheetViews>
    <sheetView showGridLines="0" zoomScale="55" zoomScaleNormal="55" workbookViewId="0"/>
  </sheetViews>
  <sheetFormatPr defaultRowHeight="12.75" x14ac:dyDescent="0.2"/>
  <cols>
    <col min="1" max="1" width="14.7109375" style="152" customWidth="1"/>
    <col min="2" max="13" width="7.7109375" style="29" customWidth="1"/>
    <col min="14" max="14" width="7.7109375" style="30" customWidth="1"/>
    <col min="15" max="36" width="7.7109375" style="29" customWidth="1"/>
    <col min="37" max="37" width="9.140625" style="29"/>
    <col min="38" max="39" width="11.140625" style="29" customWidth="1"/>
    <col min="40" max="41" width="9.140625" style="29"/>
    <col min="42" max="42" width="10" style="105" hidden="1" customWidth="1"/>
    <col min="43" max="44" width="9.140625" style="29" hidden="1" customWidth="1"/>
    <col min="45" max="49" width="8.7109375" style="29" hidden="1" customWidth="1"/>
    <col min="50" max="51" width="9.140625" style="29" hidden="1" customWidth="1"/>
    <col min="52" max="58" width="8.7109375" style="29" hidden="1" customWidth="1"/>
    <col min="59" max="59" width="9.140625" style="29" hidden="1" customWidth="1"/>
    <col min="60" max="60" width="13.5703125" style="29" hidden="1" customWidth="1"/>
    <col min="61" max="67" width="8.7109375" style="29" hidden="1" customWidth="1"/>
    <col min="68" max="68" width="14.28515625" style="29" hidden="1" customWidth="1"/>
    <col min="69" max="69" width="15.5703125" style="29" hidden="1" customWidth="1"/>
    <col min="70" max="76" width="8.7109375" style="29" hidden="1" customWidth="1"/>
    <col min="77" max="78" width="9.140625" style="29" hidden="1" customWidth="1"/>
    <col min="79" max="80" width="9.140625" style="153" hidden="1" customWidth="1"/>
    <col min="81" max="81" width="9.140625" style="29" hidden="1" customWidth="1"/>
    <col min="82" max="88" width="8.7109375" style="29" hidden="1" customWidth="1"/>
    <col min="89" max="107" width="9.140625" style="29" hidden="1" customWidth="1"/>
    <col min="108" max="16384" width="9.140625" style="29"/>
  </cols>
  <sheetData>
    <row r="1" spans="1:107" ht="153" customHeight="1" x14ac:dyDescent="0.2">
      <c r="A1" s="689" t="s">
        <v>265</v>
      </c>
      <c r="B1" s="678" t="s">
        <v>0</v>
      </c>
      <c r="C1" s="678" t="s">
        <v>1</v>
      </c>
      <c r="D1" s="678" t="s">
        <v>2</v>
      </c>
      <c r="E1" s="678" t="s">
        <v>3</v>
      </c>
      <c r="F1" s="678" t="s">
        <v>4</v>
      </c>
      <c r="G1" s="678" t="s">
        <v>5</v>
      </c>
      <c r="H1" s="678" t="s">
        <v>6</v>
      </c>
      <c r="I1" s="678" t="s">
        <v>7</v>
      </c>
      <c r="J1" s="678" t="s">
        <v>8</v>
      </c>
      <c r="K1" s="678" t="s">
        <v>9</v>
      </c>
      <c r="L1" s="678" t="s">
        <v>10</v>
      </c>
      <c r="M1" s="678"/>
      <c r="N1" s="679" t="s">
        <v>11</v>
      </c>
      <c r="O1" s="678" t="str">
        <f>O13&amp;"-"&amp;O14&amp;"mph"</f>
        <v>0-10mph</v>
      </c>
      <c r="P1" s="678" t="str">
        <f t="shared" ref="P1:AA1" si="0">P13&amp;"-"&amp;P14&amp;"mph"</f>
        <v>10-15mph</v>
      </c>
      <c r="Q1" s="678" t="str">
        <f t="shared" si="0"/>
        <v>15-20mph</v>
      </c>
      <c r="R1" s="678" t="str">
        <f t="shared" si="0"/>
        <v>20-25mph</v>
      </c>
      <c r="S1" s="678" t="str">
        <f t="shared" si="0"/>
        <v>25-30mph</v>
      </c>
      <c r="T1" s="678" t="str">
        <f t="shared" si="0"/>
        <v>30-35mph</v>
      </c>
      <c r="U1" s="678" t="str">
        <f t="shared" si="0"/>
        <v>35-40mph</v>
      </c>
      <c r="V1" s="678" t="str">
        <f t="shared" si="0"/>
        <v>40-45mph</v>
      </c>
      <c r="W1" s="678" t="str">
        <f t="shared" si="0"/>
        <v>45-50mph</v>
      </c>
      <c r="X1" s="678" t="str">
        <f t="shared" si="0"/>
        <v>50-60mph</v>
      </c>
      <c r="Y1" s="678" t="str">
        <f t="shared" si="0"/>
        <v>60-70mph</v>
      </c>
      <c r="Z1" s="678" t="str">
        <f t="shared" si="0"/>
        <v>70-80mph</v>
      </c>
      <c r="AA1" s="678" t="str">
        <f t="shared" si="0"/>
        <v>80-90mph</v>
      </c>
      <c r="AB1" s="678" t="str">
        <f>AB13&amp;"mph+"</f>
        <v>90mph+</v>
      </c>
      <c r="AC1" s="678" t="s">
        <v>12</v>
      </c>
      <c r="AD1" s="680" t="s">
        <v>13</v>
      </c>
      <c r="AE1" s="678" t="s">
        <v>14</v>
      </c>
      <c r="AF1" s="678" t="s">
        <v>15</v>
      </c>
      <c r="AG1" s="678" t="s">
        <v>16</v>
      </c>
      <c r="AH1" s="678" t="s">
        <v>17</v>
      </c>
      <c r="AI1" s="678" t="s">
        <v>18</v>
      </c>
      <c r="AJ1" s="681" t="s">
        <v>19</v>
      </c>
    </row>
    <row r="2" spans="1:107" ht="9.9499999999999993" customHeight="1" x14ac:dyDescent="0.2">
      <c r="A2" s="32"/>
      <c r="B2" s="33"/>
      <c r="C2" s="33"/>
      <c r="D2" s="33"/>
      <c r="E2" s="33"/>
      <c r="F2" s="33"/>
      <c r="G2" s="33"/>
      <c r="H2" s="33"/>
      <c r="I2" s="33"/>
      <c r="J2" s="33"/>
      <c r="K2" s="33"/>
      <c r="L2" s="33"/>
      <c r="M2" s="33"/>
      <c r="N2" s="231"/>
      <c r="O2" s="33"/>
      <c r="P2" s="33"/>
      <c r="Q2" s="33"/>
      <c r="R2" s="33"/>
      <c r="S2" s="33"/>
      <c r="T2" s="33"/>
      <c r="U2" s="33"/>
      <c r="V2" s="33"/>
      <c r="W2" s="33"/>
      <c r="X2" s="33"/>
      <c r="Y2" s="33"/>
      <c r="Z2" s="33"/>
      <c r="AA2" s="33"/>
      <c r="AB2" s="33"/>
      <c r="AC2" s="33"/>
      <c r="AD2" s="33"/>
      <c r="AE2" s="33"/>
      <c r="AF2" s="33"/>
      <c r="AG2" s="33"/>
      <c r="AH2" s="33"/>
      <c r="AI2" s="33"/>
      <c r="AJ2" s="33"/>
    </row>
    <row r="3" spans="1:107" ht="30" customHeight="1" x14ac:dyDescent="0.35">
      <c r="A3" s="223" t="s">
        <v>20</v>
      </c>
      <c r="B3" s="36"/>
      <c r="C3" s="36"/>
      <c r="D3" s="779" t="str">
        <f ca="1">IF(config!D3&lt;&gt;"",config!D3,"UNDEFINED")</f>
        <v>18225 GT TOTHAM</v>
      </c>
      <c r="E3" s="779"/>
      <c r="F3" s="779"/>
      <c r="G3" s="779"/>
      <c r="H3" s="779"/>
      <c r="I3" s="779"/>
      <c r="J3" s="779"/>
      <c r="K3" s="779"/>
      <c r="L3" s="779"/>
      <c r="M3" s="779"/>
      <c r="N3" s="232"/>
      <c r="O3" s="37"/>
      <c r="P3" s="37"/>
      <c r="Q3" s="37"/>
      <c r="R3" s="37"/>
      <c r="S3" s="37"/>
      <c r="T3" s="37"/>
      <c r="U3" s="37"/>
      <c r="V3" s="37"/>
      <c r="W3" s="37"/>
      <c r="X3" s="37"/>
      <c r="Y3" s="37"/>
      <c r="Z3" s="37"/>
      <c r="AA3" s="37"/>
      <c r="AB3" s="37"/>
      <c r="AC3" s="37"/>
      <c r="AD3" s="37"/>
      <c r="AE3" s="37"/>
      <c r="AF3" s="37"/>
      <c r="AG3" s="37"/>
      <c r="AH3" s="37"/>
      <c r="AI3" s="37"/>
      <c r="AJ3" s="37"/>
    </row>
    <row r="4" spans="1:107" ht="30" customHeight="1" x14ac:dyDescent="0.35">
      <c r="A4" s="223" t="s">
        <v>21</v>
      </c>
      <c r="B4" s="36"/>
      <c r="C4" s="36"/>
      <c r="D4" s="780" t="str">
        <f ca="1">IF(config!D4&lt;&gt;"",config!D4,"UNDEFINED")</f>
        <v xml:space="preserve">ATC01 </v>
      </c>
      <c r="E4" s="780"/>
      <c r="F4" s="780"/>
      <c r="G4" s="780"/>
      <c r="H4" s="780"/>
      <c r="I4" s="780"/>
      <c r="J4" s="780"/>
      <c r="K4" s="780"/>
      <c r="L4" s="780"/>
      <c r="M4" s="780"/>
      <c r="N4" s="232"/>
      <c r="O4" s="37"/>
      <c r="P4" s="37"/>
      <c r="Q4" s="37"/>
      <c r="R4" s="37"/>
      <c r="S4" s="37"/>
      <c r="T4" s="37"/>
      <c r="U4" s="37"/>
      <c r="V4" s="37"/>
      <c r="W4" s="37"/>
      <c r="X4" s="37"/>
      <c r="Y4" s="37"/>
      <c r="Z4" s="37"/>
      <c r="AA4" s="37"/>
      <c r="AB4" s="37"/>
      <c r="AC4" s="37"/>
      <c r="AD4" s="37"/>
      <c r="AE4" s="37"/>
      <c r="AF4" s="37"/>
      <c r="AG4" s="37"/>
      <c r="AH4" s="37"/>
      <c r="AI4" s="37"/>
      <c r="AJ4" s="37"/>
    </row>
    <row r="5" spans="1:107" ht="30" customHeight="1" x14ac:dyDescent="0.35">
      <c r="A5" s="223" t="s">
        <v>22</v>
      </c>
      <c r="B5" s="36"/>
      <c r="C5" s="36"/>
      <c r="D5" s="780" t="str">
        <f>IF(config!D5&lt;&gt;"",UPPER(config!D5),"UNDEFINED")</f>
        <v>PLAINS RD (W), GT TOTHAM</v>
      </c>
      <c r="E5" s="780"/>
      <c r="F5" s="780"/>
      <c r="G5" s="780"/>
      <c r="H5" s="780"/>
      <c r="I5" s="780"/>
      <c r="J5" s="780"/>
      <c r="K5" s="780"/>
      <c r="L5" s="780"/>
      <c r="M5" s="780"/>
      <c r="N5" s="232"/>
      <c r="O5" s="37"/>
      <c r="P5" s="37"/>
      <c r="Q5" s="37"/>
      <c r="R5" s="37"/>
      <c r="S5" s="37"/>
      <c r="T5" s="37"/>
      <c r="U5" s="37"/>
      <c r="V5" s="37"/>
      <c r="W5" s="37"/>
      <c r="X5" s="37"/>
      <c r="Y5" s="37"/>
      <c r="Z5" s="37"/>
      <c r="AA5" s="37"/>
      <c r="AB5" s="37"/>
      <c r="AC5" s="37"/>
      <c r="AD5" s="37"/>
      <c r="AE5" s="37"/>
      <c r="AF5" s="37"/>
      <c r="AG5" s="37"/>
      <c r="AH5" s="37"/>
      <c r="AI5" s="37"/>
      <c r="AJ5" s="37"/>
    </row>
    <row r="6" spans="1:107" ht="30" customHeight="1" x14ac:dyDescent="0.35">
      <c r="A6" s="223" t="s">
        <v>23</v>
      </c>
      <c r="B6" s="36"/>
      <c r="C6" s="36"/>
      <c r="D6" s="779" t="str">
        <f>IF(config!D12&lt;&gt;"",UPPER(config!CI6)&amp;" "&amp;config!CI18,"UNDEFINED")</f>
        <v>WESTBOUND ←</v>
      </c>
      <c r="E6" s="779"/>
      <c r="F6" s="779"/>
      <c r="G6" s="779"/>
      <c r="H6" s="779"/>
      <c r="I6" s="779"/>
      <c r="J6" s="779"/>
      <c r="K6" s="779"/>
      <c r="L6" s="779"/>
      <c r="M6" s="779"/>
      <c r="N6" s="232"/>
      <c r="O6" s="37"/>
      <c r="P6" s="37"/>
      <c r="Q6" s="37"/>
      <c r="R6" s="37"/>
      <c r="S6" s="37"/>
      <c r="T6" s="37"/>
      <c r="U6" s="37"/>
      <c r="V6" s="37"/>
      <c r="W6" s="37"/>
      <c r="X6" s="37"/>
      <c r="Y6" s="37"/>
      <c r="Z6" s="37"/>
      <c r="AA6" s="37"/>
      <c r="AB6" s="37"/>
      <c r="AC6" s="37"/>
      <c r="AD6" s="37"/>
      <c r="AE6" s="37"/>
      <c r="AF6" s="37"/>
      <c r="AG6" s="37"/>
      <c r="AH6" s="37"/>
      <c r="AI6" s="37"/>
      <c r="AJ6" s="37"/>
    </row>
    <row r="7" spans="1:107" ht="30" customHeight="1" x14ac:dyDescent="0.35">
      <c r="A7" s="223" t="s">
        <v>166</v>
      </c>
      <c r="B7" s="39"/>
      <c r="C7" s="39"/>
      <c r="D7" s="780" t="str">
        <f>AE13&amp;"mph"</f>
        <v>60mph</v>
      </c>
      <c r="E7" s="780"/>
      <c r="F7" s="780"/>
      <c r="G7" s="780"/>
      <c r="H7" s="780"/>
      <c r="I7" s="780"/>
      <c r="J7" s="780"/>
      <c r="K7" s="780"/>
      <c r="L7" s="780"/>
      <c r="M7" s="780"/>
      <c r="N7" s="231"/>
      <c r="O7" s="33"/>
      <c r="P7" s="33"/>
      <c r="Q7" s="33"/>
      <c r="R7" s="33"/>
      <c r="S7" s="33"/>
      <c r="T7" s="33"/>
      <c r="U7" s="33"/>
      <c r="V7" s="33"/>
      <c r="W7" s="33"/>
      <c r="X7" s="33"/>
      <c r="Y7" s="33"/>
      <c r="Z7" s="33"/>
      <c r="AA7" s="33"/>
      <c r="AB7" s="33"/>
      <c r="AC7" s="33"/>
      <c r="AD7" s="33"/>
      <c r="AE7" s="33"/>
      <c r="AF7" s="33"/>
      <c r="AG7" s="33"/>
      <c r="AH7" s="33"/>
      <c r="AI7" s="33"/>
      <c r="AJ7" s="33"/>
    </row>
    <row r="8" spans="1:107" ht="9.9499999999999993" customHeight="1" x14ac:dyDescent="0.35">
      <c r="A8" s="35"/>
      <c r="B8" s="39"/>
      <c r="C8" s="40"/>
      <c r="D8" s="36"/>
      <c r="E8" s="36"/>
      <c r="F8" s="41"/>
      <c r="G8" s="781"/>
      <c r="H8" s="781"/>
      <c r="I8" s="781"/>
      <c r="J8" s="781"/>
      <c r="K8" s="781"/>
      <c r="L8" s="781"/>
      <c r="M8" s="42"/>
      <c r="N8" s="233"/>
      <c r="O8" s="33"/>
      <c r="P8" s="33"/>
      <c r="Q8" s="33"/>
      <c r="R8" s="33"/>
      <c r="S8" s="33"/>
      <c r="T8" s="33"/>
      <c r="U8" s="33"/>
      <c r="V8" s="33"/>
      <c r="W8" s="33"/>
      <c r="X8" s="33"/>
      <c r="Y8" s="33"/>
      <c r="Z8" s="33"/>
      <c r="AA8" s="33"/>
      <c r="AB8" s="33"/>
      <c r="AC8" s="33"/>
      <c r="AD8" s="33"/>
      <c r="AE8" s="33"/>
      <c r="AF8" s="33"/>
      <c r="AG8" s="183"/>
      <c r="AH8" s="183"/>
      <c r="AI8" s="183"/>
      <c r="AJ8" s="183"/>
      <c r="AS8" s="30"/>
      <c r="AT8" s="30"/>
      <c r="AU8" s="30"/>
      <c r="AV8" s="30"/>
      <c r="AW8" s="30"/>
      <c r="AX8" s="30"/>
      <c r="AY8" s="43"/>
      <c r="AZ8" s="44" t="str">
        <f>IF(OR(WEEKDAY(AZ9)=2,WEEKDAY(AZ9)=6),"NON",IF(OR(WEEKDAY(AZ9)=1,WEEKDAY(AZ9)=7),"WKND","NEUT"))</f>
        <v>NEUT</v>
      </c>
      <c r="BA8" s="44" t="str">
        <f t="shared" ref="BA8:BF8" si="1">IF(OR(WEEKDAY(BA9)=2,WEEKDAY(BA9)=6),"NON",IF(OR(WEEKDAY(BA9)=1,WEEKDAY(BA9)=7),"WKND","NEUT"))</f>
        <v>NEUT</v>
      </c>
      <c r="BB8" s="44" t="str">
        <f t="shared" si="1"/>
        <v>NEUT</v>
      </c>
      <c r="BC8" s="44" t="str">
        <f t="shared" si="1"/>
        <v>NON</v>
      </c>
      <c r="BD8" s="44" t="str">
        <f t="shared" si="1"/>
        <v>WKND</v>
      </c>
      <c r="BE8" s="44" t="str">
        <f t="shared" si="1"/>
        <v>WKND</v>
      </c>
      <c r="BF8" s="44" t="str">
        <f t="shared" si="1"/>
        <v>NON</v>
      </c>
      <c r="BG8" s="45"/>
      <c r="BH8" s="46"/>
      <c r="BI8" s="44"/>
      <c r="BJ8" s="44"/>
      <c r="BK8" s="44"/>
      <c r="BL8" s="44"/>
      <c r="BM8" s="44"/>
      <c r="BN8" s="44"/>
      <c r="BO8" s="44"/>
      <c r="BP8" s="46"/>
      <c r="BQ8" s="45"/>
      <c r="BR8" s="44"/>
      <c r="BS8" s="44"/>
      <c r="BT8" s="44"/>
      <c r="BU8" s="44"/>
      <c r="BV8" s="44"/>
      <c r="BW8" s="44"/>
      <c r="BX8" s="44"/>
      <c r="BY8" s="30"/>
      <c r="BZ8" s="30"/>
      <c r="CC8" s="30"/>
      <c r="CD8" s="44"/>
      <c r="CE8" s="44"/>
      <c r="CF8" s="44"/>
      <c r="CG8" s="44"/>
      <c r="CH8" s="44"/>
      <c r="CI8" s="44"/>
      <c r="CJ8" s="44"/>
    </row>
    <row r="9" spans="1:107" s="47" customFormat="1" ht="128.25" customHeight="1" x14ac:dyDescent="0.25">
      <c r="A9" s="692" t="str">
        <f>config!CI18</f>
        <v>←</v>
      </c>
      <c r="B9" s="563" t="s">
        <v>282</v>
      </c>
      <c r="C9" s="563" t="str">
        <f>config!CG5</f>
        <v>Mcycles</v>
      </c>
      <c r="D9" s="563" t="str">
        <f>config!CG6</f>
        <v>Cars, taxis, 4WD</v>
      </c>
      <c r="E9" s="563" t="str">
        <f>config!CG7</f>
        <v>Cars plus trailer</v>
      </c>
      <c r="F9" s="563" t="str">
        <f>config!CG8</f>
        <v>2-axle truck/bus</v>
      </c>
      <c r="G9" s="563" t="str">
        <f>config!CG9</f>
        <v>3-axle truck/bus</v>
      </c>
      <c r="H9" s="563" t="str">
        <f>config!CG10</f>
        <v>4-axle truck</v>
      </c>
      <c r="I9" s="563" t="str">
        <f>config!CG11</f>
        <v>3-axle articulated</v>
      </c>
      <c r="J9" s="563" t="str">
        <f>config!CG12</f>
        <v>4-axle articulated</v>
      </c>
      <c r="K9" s="563" t="str">
        <f>config!CG13</f>
        <v>5-axle articulated</v>
      </c>
      <c r="L9" s="563" t="str">
        <f>config!CG14</f>
        <v>6+ axle articulated</v>
      </c>
      <c r="M9" s="563"/>
      <c r="N9" s="563"/>
      <c r="O9" s="563" t="str">
        <f t="shared" ref="O9:AB9" si="2">O13&amp;" - "&amp;O14&amp;" mph"</f>
        <v>0 - 10 mph</v>
      </c>
      <c r="P9" s="563" t="str">
        <f t="shared" si="2"/>
        <v>10 - 15 mph</v>
      </c>
      <c r="Q9" s="563" t="str">
        <f t="shared" si="2"/>
        <v>15 - 20 mph</v>
      </c>
      <c r="R9" s="563" t="str">
        <f t="shared" si="2"/>
        <v>20 - 25 mph</v>
      </c>
      <c r="S9" s="563" t="str">
        <f t="shared" si="2"/>
        <v>25 - 30 mph</v>
      </c>
      <c r="T9" s="563" t="str">
        <f t="shared" si="2"/>
        <v>30 - 35 mph</v>
      </c>
      <c r="U9" s="563" t="str">
        <f t="shared" si="2"/>
        <v>35 - 40 mph</v>
      </c>
      <c r="V9" s="563" t="str">
        <f t="shared" si="2"/>
        <v>40 - 45 mph</v>
      </c>
      <c r="W9" s="563" t="str">
        <f t="shared" si="2"/>
        <v>45 - 50 mph</v>
      </c>
      <c r="X9" s="563" t="str">
        <f t="shared" si="2"/>
        <v>50 - 60 mph</v>
      </c>
      <c r="Y9" s="563" t="str">
        <f t="shared" si="2"/>
        <v>60 - 70 mph</v>
      </c>
      <c r="Z9" s="563" t="str">
        <f t="shared" si="2"/>
        <v>70 - 80 mph</v>
      </c>
      <c r="AA9" s="563" t="str">
        <f t="shared" si="2"/>
        <v>80 - 90 mph</v>
      </c>
      <c r="AB9" s="563" t="str">
        <f t="shared" si="2"/>
        <v>90 - 100 mph</v>
      </c>
      <c r="AC9" s="564" t="str">
        <f>AC12&amp;" SPD"</f>
        <v>AVG SPD</v>
      </c>
      <c r="AD9" s="564" t="s">
        <v>13</v>
      </c>
      <c r="AE9" s="563" t="str">
        <f>"&gt; "&amp;AE13&amp;"mph"</f>
        <v>&gt; 60mph</v>
      </c>
      <c r="AF9" s="563" t="str">
        <f>"% &gt; "&amp;AF13&amp;"mph"</f>
        <v>% &gt; 60mph</v>
      </c>
      <c r="AG9" s="224"/>
      <c r="AH9" s="226"/>
      <c r="AI9" s="224"/>
      <c r="AJ9" s="226"/>
      <c r="AP9" s="398"/>
      <c r="AR9" s="48"/>
      <c r="AS9" s="49" t="str">
        <f>SUMMARY!D141</f>
        <v>MOTOR CYCLES</v>
      </c>
      <c r="AT9" s="49" t="str">
        <f>SUMMARY!E141</f>
        <v>CARS / LGV1</v>
      </c>
      <c r="AU9" s="49" t="str">
        <f>SUMMARY!F141</f>
        <v>LGV2 / MGV</v>
      </c>
      <c r="AV9" s="49" t="str">
        <f>SUMMARY!G141</f>
        <v>HGV_x000D_ RIGID</v>
      </c>
      <c r="AW9" s="49" t="str">
        <f>SUMMARY!H141</f>
        <v>HGV ARTIC'D</v>
      </c>
      <c r="AY9" s="50"/>
      <c r="AZ9" s="49">
        <f>config!D6</f>
        <v>43263</v>
      </c>
      <c r="BA9" s="49">
        <f t="shared" ref="BA9:BF9" si="3">AZ9+1</f>
        <v>43264</v>
      </c>
      <c r="BB9" s="49">
        <f t="shared" si="3"/>
        <v>43265</v>
      </c>
      <c r="BC9" s="49">
        <f t="shared" si="3"/>
        <v>43266</v>
      </c>
      <c r="BD9" s="49">
        <f t="shared" si="3"/>
        <v>43267</v>
      </c>
      <c r="BE9" s="49">
        <f t="shared" si="3"/>
        <v>43268</v>
      </c>
      <c r="BF9" s="49">
        <f t="shared" si="3"/>
        <v>43269</v>
      </c>
      <c r="BG9" s="51"/>
      <c r="BH9" s="52"/>
      <c r="BI9" s="49">
        <f t="shared" ref="BI9:BO9" si="4">AZ9</f>
        <v>43263</v>
      </c>
      <c r="BJ9" s="49">
        <f t="shared" si="4"/>
        <v>43264</v>
      </c>
      <c r="BK9" s="49">
        <f t="shared" si="4"/>
        <v>43265</v>
      </c>
      <c r="BL9" s="49">
        <f t="shared" si="4"/>
        <v>43266</v>
      </c>
      <c r="BM9" s="49">
        <f t="shared" si="4"/>
        <v>43267</v>
      </c>
      <c r="BN9" s="49">
        <f t="shared" si="4"/>
        <v>43268</v>
      </c>
      <c r="BO9" s="49">
        <f t="shared" si="4"/>
        <v>43269</v>
      </c>
      <c r="BP9" s="53"/>
      <c r="BQ9" s="52"/>
      <c r="BR9" s="49">
        <f t="shared" ref="BR9:BX9" si="5">BI9</f>
        <v>43263</v>
      </c>
      <c r="BS9" s="49">
        <f t="shared" si="5"/>
        <v>43264</v>
      </c>
      <c r="BT9" s="49">
        <f t="shared" si="5"/>
        <v>43265</v>
      </c>
      <c r="BU9" s="49">
        <f t="shared" si="5"/>
        <v>43266</v>
      </c>
      <c r="BV9" s="49">
        <f t="shared" si="5"/>
        <v>43267</v>
      </c>
      <c r="BW9" s="49">
        <f t="shared" si="5"/>
        <v>43268</v>
      </c>
      <c r="BX9" s="49">
        <f t="shared" si="5"/>
        <v>43269</v>
      </c>
      <c r="CA9" s="224"/>
      <c r="CB9" s="224"/>
      <c r="CD9" s="49">
        <f t="shared" ref="CD9:CJ9" si="6">AZ9</f>
        <v>43263</v>
      </c>
      <c r="CE9" s="49">
        <f t="shared" si="6"/>
        <v>43264</v>
      </c>
      <c r="CF9" s="49">
        <f t="shared" si="6"/>
        <v>43265</v>
      </c>
      <c r="CG9" s="49">
        <f t="shared" si="6"/>
        <v>43266</v>
      </c>
      <c r="CH9" s="49">
        <f t="shared" si="6"/>
        <v>43267</v>
      </c>
      <c r="CI9" s="49">
        <f t="shared" si="6"/>
        <v>43268</v>
      </c>
      <c r="CJ9" s="49">
        <f t="shared" si="6"/>
        <v>43269</v>
      </c>
      <c r="CY9" s="49" t="str">
        <f>AS9</f>
        <v>MOTOR CYCLES</v>
      </c>
      <c r="CZ9" s="49" t="str">
        <f t="shared" ref="CZ9:DC9" si="7">AT9</f>
        <v>CARS / LGV1</v>
      </c>
      <c r="DA9" s="49" t="str">
        <f t="shared" si="7"/>
        <v>LGV2 / MGV</v>
      </c>
      <c r="DB9" s="49" t="str">
        <f t="shared" si="7"/>
        <v>HGV_x000D_ RIGID</v>
      </c>
      <c r="DC9" s="49" t="str">
        <f t="shared" si="7"/>
        <v>HGV ARTIC'D</v>
      </c>
    </row>
    <row r="10" spans="1:107" ht="15.75" customHeight="1" thickBot="1" x14ac:dyDescent="0.3">
      <c r="A10" s="685">
        <f>config!D6</f>
        <v>43263</v>
      </c>
      <c r="B10" s="170"/>
      <c r="C10" s="170"/>
      <c r="D10" s="170"/>
      <c r="E10" s="170"/>
      <c r="F10" s="170"/>
      <c r="G10" s="170"/>
      <c r="H10" s="170"/>
      <c r="I10" s="170"/>
      <c r="J10" s="170"/>
      <c r="K10" s="170"/>
      <c r="L10" s="170"/>
      <c r="M10" s="170"/>
      <c r="N10" s="234"/>
      <c r="O10" s="170"/>
      <c r="P10" s="170"/>
      <c r="Q10" s="170"/>
      <c r="R10" s="170"/>
      <c r="S10" s="170"/>
      <c r="T10" s="170"/>
      <c r="U10" s="170"/>
      <c r="V10" s="170"/>
      <c r="W10" s="170"/>
      <c r="X10" s="170"/>
      <c r="Y10" s="170"/>
      <c r="Z10" s="170"/>
      <c r="AA10" s="170"/>
      <c r="AB10" s="170"/>
      <c r="AC10" s="176"/>
      <c r="AD10" s="176"/>
      <c r="AE10" s="170"/>
      <c r="AF10" s="176"/>
      <c r="AG10" s="170"/>
      <c r="AH10" s="176"/>
      <c r="AI10" s="170"/>
      <c r="AJ10" s="176"/>
      <c r="AP10" s="399" t="s">
        <v>177</v>
      </c>
      <c r="AR10" s="55"/>
      <c r="AS10" s="778" t="s">
        <v>175</v>
      </c>
      <c r="AT10" s="778"/>
      <c r="AU10" s="778"/>
      <c r="AV10" s="778"/>
      <c r="AW10" s="778"/>
      <c r="AX10" s="390"/>
      <c r="AY10" s="391"/>
      <c r="AZ10" s="778" t="s">
        <v>167</v>
      </c>
      <c r="BA10" s="778"/>
      <c r="BB10" s="778"/>
      <c r="BC10" s="778"/>
      <c r="BD10" s="778"/>
      <c r="BE10" s="778"/>
      <c r="BF10" s="778"/>
      <c r="BG10" s="392"/>
      <c r="BH10" s="393"/>
      <c r="BI10" s="778" t="s">
        <v>168</v>
      </c>
      <c r="BJ10" s="778"/>
      <c r="BK10" s="778"/>
      <c r="BL10" s="778"/>
      <c r="BM10" s="778"/>
      <c r="BN10" s="778"/>
      <c r="BO10" s="778"/>
      <c r="BP10" s="394"/>
      <c r="BQ10" s="393"/>
      <c r="BR10" s="778" t="s">
        <v>13</v>
      </c>
      <c r="BS10" s="778"/>
      <c r="BT10" s="778"/>
      <c r="BU10" s="778"/>
      <c r="BV10" s="778"/>
      <c r="BW10" s="778"/>
      <c r="BX10" s="778"/>
      <c r="BY10" s="390"/>
      <c r="BZ10" s="395" t="s">
        <v>12</v>
      </c>
      <c r="CA10" s="446">
        <v>0.85</v>
      </c>
      <c r="CB10" s="395" t="s">
        <v>166</v>
      </c>
      <c r="CC10" s="390"/>
      <c r="CD10" s="778" t="s">
        <v>178</v>
      </c>
      <c r="CE10" s="778"/>
      <c r="CF10" s="778"/>
      <c r="CG10" s="778"/>
      <c r="CH10" s="778"/>
      <c r="CI10" s="778"/>
      <c r="CJ10" s="778"/>
      <c r="CK10" s="390"/>
      <c r="CL10" s="390"/>
      <c r="CM10" s="778" t="s">
        <v>235</v>
      </c>
      <c r="CN10" s="778"/>
      <c r="CO10" s="778"/>
      <c r="CP10" s="778"/>
      <c r="CQ10" s="778"/>
      <c r="CR10" s="778"/>
      <c r="CS10" s="778"/>
      <c r="CT10" s="390"/>
      <c r="CU10" s="390"/>
      <c r="CY10" s="783" t="s">
        <v>422</v>
      </c>
      <c r="CZ10" s="783"/>
      <c r="DA10" s="783"/>
      <c r="DB10" s="783"/>
      <c r="DC10" s="783"/>
    </row>
    <row r="11" spans="1:107" ht="15" x14ac:dyDescent="0.25">
      <c r="A11" s="683"/>
      <c r="B11" s="170"/>
      <c r="C11" s="170"/>
      <c r="D11" s="170"/>
      <c r="E11" s="170"/>
      <c r="F11" s="170"/>
      <c r="G11" s="170"/>
      <c r="H11" s="170"/>
      <c r="I11" s="170"/>
      <c r="J11" s="170"/>
      <c r="K11" s="170"/>
      <c r="L11" s="170"/>
      <c r="M11" s="170"/>
      <c r="N11" s="234"/>
      <c r="O11" s="170"/>
      <c r="P11" s="170"/>
      <c r="Q11" s="170"/>
      <c r="R11" s="170"/>
      <c r="S11" s="170"/>
      <c r="T11" s="170"/>
      <c r="U11" s="170"/>
      <c r="V11" s="170"/>
      <c r="W11" s="170"/>
      <c r="X11" s="170"/>
      <c r="Y11" s="170"/>
      <c r="Z11" s="170"/>
      <c r="AA11" s="170"/>
      <c r="AB11" s="170"/>
      <c r="AC11" s="176"/>
      <c r="AD11" s="176"/>
      <c r="AE11" s="170"/>
      <c r="AF11" s="176"/>
      <c r="AG11" s="170"/>
      <c r="AH11" s="176"/>
      <c r="AI11" s="170"/>
      <c r="AJ11" s="176"/>
      <c r="AP11" s="400">
        <f>SUM(F15,F122,F229,F336,F443,F550,F657)</f>
        <v>0</v>
      </c>
      <c r="AR11" s="56">
        <v>0</v>
      </c>
      <c r="AS11" s="57">
        <f>SUM(C15,C122,C229,C336,C443,C550,C657)/config!$AC$13</f>
        <v>0</v>
      </c>
      <c r="AT11" s="58">
        <f>SUM(D15:E15,D122:E122,D229:E229,D336:E336,D443:E443,D550:E550,D657:E657)/config!$AC$13</f>
        <v>0.2857142857142857</v>
      </c>
      <c r="AU11" s="58">
        <f>SUM(F15:G15,F122:G122,F229:G229,F336:G336,F443:G443,F550:G550,F657:G657)/config!$AC$13</f>
        <v>0</v>
      </c>
      <c r="AV11" s="58">
        <f>SUM(H15,H122,H229,H336,H443,H550,H657)/config!$AC$13</f>
        <v>0</v>
      </c>
      <c r="AW11" s="59">
        <f>SUM(I15:L15,I122:L122,I229:L229,I336:L336,I443:L443,I550:L550,I657:L657)/config!$AC$13</f>
        <v>0</v>
      </c>
      <c r="AY11" s="56">
        <v>0</v>
      </c>
      <c r="AZ11" s="60">
        <f t="shared" ref="AZ11:AZ42" si="8">B15</f>
        <v>0</v>
      </c>
      <c r="BA11" s="61">
        <f t="shared" ref="BA11:BA42" si="9">B122</f>
        <v>0</v>
      </c>
      <c r="BB11" s="61">
        <f t="shared" ref="BB11:BB42" si="10">B229</f>
        <v>0</v>
      </c>
      <c r="BC11" s="61">
        <f t="shared" ref="BC11:BC42" si="11">B336</f>
        <v>1</v>
      </c>
      <c r="BD11" s="61">
        <f t="shared" ref="BD11:BD42" si="12">B443</f>
        <v>0</v>
      </c>
      <c r="BE11" s="61">
        <f t="shared" ref="BE11:BE42" si="13">B550</f>
        <v>1</v>
      </c>
      <c r="BF11" s="62">
        <f t="shared" ref="BF11:BF42" si="14">B657</f>
        <v>0</v>
      </c>
      <c r="BG11" s="45"/>
      <c r="BH11" s="56">
        <f t="shared" ref="BH11:BH42" si="15">AY11</f>
        <v>0</v>
      </c>
      <c r="BI11" s="57" t="str">
        <f t="shared" ref="BI11:BI42" si="16">AC15</f>
        <v/>
      </c>
      <c r="BJ11" s="58" t="str">
        <f t="shared" ref="BJ11:BJ42" si="17">AC122</f>
        <v/>
      </c>
      <c r="BK11" s="58" t="str">
        <f t="shared" ref="BK11:BK42" si="18">AC229</f>
        <v/>
      </c>
      <c r="BL11" s="58">
        <f t="shared" ref="BL11:BL42" si="19">AC336</f>
        <v>47.5</v>
      </c>
      <c r="BM11" s="58" t="str">
        <f t="shared" ref="BM11:BM42" si="20">AC443</f>
        <v/>
      </c>
      <c r="BN11" s="58">
        <f t="shared" ref="BN11:BN42" si="21">AC550</f>
        <v>51.9</v>
      </c>
      <c r="BO11" s="59" t="str">
        <f t="shared" ref="BO11:BO42" si="22">AC657</f>
        <v/>
      </c>
      <c r="BP11" s="63"/>
      <c r="BQ11" s="64">
        <f t="shared" ref="BQ11:BQ42" si="23">BH11</f>
        <v>0</v>
      </c>
      <c r="BR11" s="57" t="str">
        <f t="shared" ref="BR11:BR42" si="24">AD15</f>
        <v/>
      </c>
      <c r="BS11" s="58" t="str">
        <f t="shared" ref="BS11:BS42" si="25">AD122</f>
        <v/>
      </c>
      <c r="BT11" s="58" t="str">
        <f t="shared" ref="BT11:BT42" si="26">AD229</f>
        <v/>
      </c>
      <c r="BU11" s="58" t="str">
        <f t="shared" ref="BU11:BU42" si="27">AD336</f>
        <v/>
      </c>
      <c r="BV11" s="58" t="str">
        <f t="shared" ref="BV11:BV42" si="28">AD443</f>
        <v/>
      </c>
      <c r="BW11" s="58" t="str">
        <f t="shared" ref="BW11:BW42" si="29">AD550</f>
        <v/>
      </c>
      <c r="BX11" s="59" t="str">
        <f t="shared" ref="BX11:BX42" si="30">AD657</f>
        <v/>
      </c>
      <c r="BY11" s="65"/>
      <c r="BZ11" s="66">
        <f>IF(SUM(BI11:BO11)&gt;0,SUM(BI11:BO11) / COUNTIF(BI11:BO11, "&gt;0"),NA())</f>
        <v>49.7</v>
      </c>
      <c r="CA11" s="414" t="e">
        <f t="shared" ref="CA11:CA74" si="31">IFERROR(SUM(BR11:BX11) / COUNTIF(BR11:BX11, "&gt;0"), NA())</f>
        <v>#N/A</v>
      </c>
      <c r="CB11" s="416">
        <f>--config!$D$8</f>
        <v>60</v>
      </c>
      <c r="CC11" s="65"/>
      <c r="CD11" s="57">
        <f t="shared" ref="CD11:CD42" si="32">AE15</f>
        <v>0</v>
      </c>
      <c r="CE11" s="58">
        <f t="shared" ref="CE11:CE42" si="33">AE122</f>
        <v>0</v>
      </c>
      <c r="CF11" s="58">
        <f t="shared" ref="CF11:CF42" si="34">AE229</f>
        <v>0</v>
      </c>
      <c r="CG11" s="58">
        <f t="shared" ref="CG11:CG42" si="35">AE336</f>
        <v>0</v>
      </c>
      <c r="CH11" s="58">
        <f t="shared" ref="CH11:CH42" si="36">AE443</f>
        <v>0</v>
      </c>
      <c r="CI11" s="58">
        <f t="shared" ref="CI11:CI42" si="37">AE550</f>
        <v>0</v>
      </c>
      <c r="CJ11" s="59">
        <f t="shared" ref="CJ11:CJ42" si="38">AE657</f>
        <v>0</v>
      </c>
      <c r="CM11" s="57" t="str">
        <f>IFERROR(AZ11*BI11,"")</f>
        <v/>
      </c>
      <c r="CN11" s="58" t="str">
        <f t="shared" ref="CN11:CS26" si="39">IFERROR(BA11*BJ11,"")</f>
        <v/>
      </c>
      <c r="CO11" s="58" t="str">
        <f t="shared" si="39"/>
        <v/>
      </c>
      <c r="CP11" s="58">
        <f t="shared" si="39"/>
        <v>47.5</v>
      </c>
      <c r="CQ11" s="58" t="str">
        <f t="shared" si="39"/>
        <v/>
      </c>
      <c r="CR11" s="58">
        <f t="shared" si="39"/>
        <v>51.9</v>
      </c>
      <c r="CS11" s="59" t="str">
        <f t="shared" si="39"/>
        <v/>
      </c>
      <c r="CU11" s="509">
        <f>SUM(SUMIF($AZ$8:$BF$8, {"NON";"NEUT"}, AZ11:BF11))/config!$AC$16</f>
        <v>0.2</v>
      </c>
      <c r="CV11" s="510">
        <f>AY11</f>
        <v>0</v>
      </c>
      <c r="CY11" s="57">
        <f>SUM(C15*$CY$108, C122*$CY$109, C229*$CY$110, C336*$CY$111, C443*$CY$112, C550*$CY$113, C657*$CY$114)/config!$AC$16</f>
        <v>0</v>
      </c>
      <c r="CZ11" s="58">
        <f>SUM(SUM(D15:E15)*$CY$108, SUM(D122:E122)*$CY$109, SUM(D229:E229)*$CY$110, SUM(D336:E336)*$CY$111, SUM(D443:E443)*$CY$112, SUM(D550:E550)*$CY$113, SUM(D657:E657)*$CY$114)/config!$AC$16</f>
        <v>0.2</v>
      </c>
      <c r="DA11" s="58">
        <f>SUM(SUM(F15:G15)*$CY$108, SUM(F122:G122)*$CY$109, SUM(F229:G229)*$CY$110, SUM(F336:G336)*$CY$111, SUM(F443:G443)*$CY$112, SUM(F550:G550)*$CY$113, SUM(F657:G657)*$CY$114)/config!$AC$16</f>
        <v>0</v>
      </c>
      <c r="DB11" s="58">
        <f>SUM(H15*$CY$108, H122*$CY$109, H229*$CY$110, H336*$CY$111, H443*$CY$112, H550*$CY$113, H657*$CY$114)/config!$AC$16</f>
        <v>0</v>
      </c>
      <c r="DC11" s="59">
        <f>SUM(SUM(I15:L15)*$CY$108, SUM(I122:L122)*$CY$109, SUM(I229:L229)*$CY$110, SUM(I336:L336)*$CY$111, SUM(I443:L443)*$CY$112, SUM(I550:L550)*$CY$113, SUM(I657:L657)*$CY$114)/config!$AC$16</f>
        <v>0</v>
      </c>
    </row>
    <row r="12" spans="1:107" s="153" customFormat="1" ht="15" x14ac:dyDescent="0.25">
      <c r="A12" s="566" t="s">
        <v>250</v>
      </c>
      <c r="B12" s="576" t="s">
        <v>0</v>
      </c>
      <c r="C12" s="577" t="s">
        <v>257</v>
      </c>
      <c r="D12" s="577" t="s">
        <v>257</v>
      </c>
      <c r="E12" s="577" t="s">
        <v>257</v>
      </c>
      <c r="F12" s="577" t="s">
        <v>257</v>
      </c>
      <c r="G12" s="577" t="s">
        <v>257</v>
      </c>
      <c r="H12" s="577" t="s">
        <v>257</v>
      </c>
      <c r="I12" s="577" t="s">
        <v>257</v>
      </c>
      <c r="J12" s="577" t="s">
        <v>257</v>
      </c>
      <c r="K12" s="577" t="s">
        <v>257</v>
      </c>
      <c r="L12" s="577" t="s">
        <v>257</v>
      </c>
      <c r="M12" s="578"/>
      <c r="N12" s="587" t="s">
        <v>11</v>
      </c>
      <c r="O12" s="576" t="s">
        <v>268</v>
      </c>
      <c r="P12" s="577" t="s">
        <v>269</v>
      </c>
      <c r="Q12" s="577" t="s">
        <v>270</v>
      </c>
      <c r="R12" s="577" t="s">
        <v>271</v>
      </c>
      <c r="S12" s="577" t="s">
        <v>272</v>
      </c>
      <c r="T12" s="577" t="s">
        <v>273</v>
      </c>
      <c r="U12" s="577" t="s">
        <v>274</v>
      </c>
      <c r="V12" s="577" t="s">
        <v>275</v>
      </c>
      <c r="W12" s="577" t="s">
        <v>276</v>
      </c>
      <c r="X12" s="577" t="s">
        <v>277</v>
      </c>
      <c r="Y12" s="577" t="s">
        <v>278</v>
      </c>
      <c r="Z12" s="577" t="s">
        <v>279</v>
      </c>
      <c r="AA12" s="577" t="s">
        <v>280</v>
      </c>
      <c r="AB12" s="577" t="s">
        <v>281</v>
      </c>
      <c r="AC12" s="629" t="s">
        <v>258</v>
      </c>
      <c r="AD12" s="629" t="s">
        <v>13</v>
      </c>
      <c r="AE12" s="577" t="s">
        <v>166</v>
      </c>
      <c r="AF12" s="629" t="s">
        <v>259</v>
      </c>
      <c r="AG12" s="630" t="s">
        <v>260</v>
      </c>
      <c r="AH12" s="631" t="s">
        <v>261</v>
      </c>
      <c r="AI12" s="630" t="s">
        <v>262</v>
      </c>
      <c r="AJ12" s="632" t="s">
        <v>263</v>
      </c>
      <c r="AP12" s="401">
        <f t="shared" ref="AP12:AP75" si="40">SUM(F16,F123,F230,F337,F444,F551,F658)</f>
        <v>0</v>
      </c>
      <c r="AR12" s="56">
        <f t="shared" ref="AR12:AR75" si="41">AR11+TIME(0,15,0)</f>
        <v>1.0416666666666666E-2</v>
      </c>
      <c r="AS12" s="67">
        <f>SUM(C16,C123,C230,C337,C444,C551,C658)/config!$AC$13</f>
        <v>0</v>
      </c>
      <c r="AT12" s="68">
        <f>SUM(D16:E16,D123:E123,D230:E230,D337:E337,D444:E444,D551:E551,D658:E658)/config!$AC$13</f>
        <v>0.42857142857142855</v>
      </c>
      <c r="AU12" s="68">
        <f>SUM(F16:G16,F123:G123,F230:G230,F337:G337,F444:G444,F551:G551,F658:G658)/config!$AC$13</f>
        <v>0</v>
      </c>
      <c r="AV12" s="68">
        <f>SUM(H16,H123,H230,H337,H444,H551,H658)/config!$AC$13</f>
        <v>0</v>
      </c>
      <c r="AW12" s="69">
        <f>SUM(I16:L16,I123:L123,I230:L230,I337:L337,I444:L444,I551:L551,I658:L658)/config!$AC$13</f>
        <v>0</v>
      </c>
      <c r="AY12" s="56">
        <f t="shared" ref="AY12:AY75" si="42">AY11+TIME(0,15,0)</f>
        <v>1.0416666666666666E-2</v>
      </c>
      <c r="AZ12" s="70">
        <f t="shared" si="8"/>
        <v>0</v>
      </c>
      <c r="BA12" s="71">
        <f t="shared" si="9"/>
        <v>0</v>
      </c>
      <c r="BB12" s="71">
        <f t="shared" si="10"/>
        <v>0</v>
      </c>
      <c r="BC12" s="71">
        <f t="shared" si="11"/>
        <v>2</v>
      </c>
      <c r="BD12" s="71">
        <f t="shared" si="12"/>
        <v>0</v>
      </c>
      <c r="BE12" s="71">
        <f t="shared" si="13"/>
        <v>1</v>
      </c>
      <c r="BF12" s="72">
        <f t="shared" si="14"/>
        <v>0</v>
      </c>
      <c r="BG12" s="45"/>
      <c r="BH12" s="56">
        <f t="shared" si="15"/>
        <v>1.0416666666666666E-2</v>
      </c>
      <c r="BI12" s="67" t="str">
        <f t="shared" si="16"/>
        <v/>
      </c>
      <c r="BJ12" s="68" t="str">
        <f t="shared" si="17"/>
        <v/>
      </c>
      <c r="BK12" s="68" t="str">
        <f t="shared" si="18"/>
        <v/>
      </c>
      <c r="BL12" s="68">
        <f t="shared" si="19"/>
        <v>42.9</v>
      </c>
      <c r="BM12" s="68" t="str">
        <f t="shared" si="20"/>
        <v/>
      </c>
      <c r="BN12" s="68">
        <f t="shared" si="21"/>
        <v>47.9</v>
      </c>
      <c r="BO12" s="69" t="str">
        <f t="shared" si="22"/>
        <v/>
      </c>
      <c r="BP12" s="63"/>
      <c r="BQ12" s="64">
        <f t="shared" si="23"/>
        <v>1.0416666666666666E-2</v>
      </c>
      <c r="BR12" s="67" t="str">
        <f t="shared" si="24"/>
        <v/>
      </c>
      <c r="BS12" s="68" t="str">
        <f t="shared" si="25"/>
        <v/>
      </c>
      <c r="BT12" s="68" t="str">
        <f t="shared" si="26"/>
        <v/>
      </c>
      <c r="BU12" s="68" t="str">
        <f t="shared" si="27"/>
        <v/>
      </c>
      <c r="BV12" s="68" t="str">
        <f t="shared" si="28"/>
        <v/>
      </c>
      <c r="BW12" s="68" t="str">
        <f t="shared" si="29"/>
        <v/>
      </c>
      <c r="BX12" s="69" t="str">
        <f t="shared" si="30"/>
        <v/>
      </c>
      <c r="BY12" s="65"/>
      <c r="BZ12" s="66">
        <f t="shared" ref="BZ12:BZ75" si="43">IF(SUM(BI12:BO12)&gt;0,SUM(BI12:BO12) / COUNTIF(BI12:BO12, "&gt;0"),NA())</f>
        <v>45.4</v>
      </c>
      <c r="CA12" s="414" t="e">
        <f t="shared" si="31"/>
        <v>#N/A</v>
      </c>
      <c r="CB12" s="416">
        <f>CB11</f>
        <v>60</v>
      </c>
      <c r="CC12" s="65"/>
      <c r="CD12" s="67">
        <f t="shared" si="32"/>
        <v>0</v>
      </c>
      <c r="CE12" s="68">
        <f t="shared" si="33"/>
        <v>0</v>
      </c>
      <c r="CF12" s="68">
        <f t="shared" si="34"/>
        <v>0</v>
      </c>
      <c r="CG12" s="68">
        <f t="shared" si="35"/>
        <v>0</v>
      </c>
      <c r="CH12" s="68">
        <f t="shared" si="36"/>
        <v>0</v>
      </c>
      <c r="CI12" s="68">
        <f t="shared" si="37"/>
        <v>0</v>
      </c>
      <c r="CJ12" s="69">
        <f t="shared" si="38"/>
        <v>0</v>
      </c>
      <c r="CM12" s="67" t="str">
        <f t="shared" ref="CM12:CM75" si="44">IFERROR(AZ12*BI12,"")</f>
        <v/>
      </c>
      <c r="CN12" s="68" t="str">
        <f t="shared" si="39"/>
        <v/>
      </c>
      <c r="CO12" s="68" t="str">
        <f t="shared" si="39"/>
        <v/>
      </c>
      <c r="CP12" s="68">
        <f t="shared" si="39"/>
        <v>85.8</v>
      </c>
      <c r="CQ12" s="68" t="str">
        <f t="shared" si="39"/>
        <v/>
      </c>
      <c r="CR12" s="68">
        <f t="shared" si="39"/>
        <v>47.9</v>
      </c>
      <c r="CS12" s="69" t="str">
        <f t="shared" si="39"/>
        <v/>
      </c>
      <c r="CU12" s="511">
        <f>SUM(SUMIF($AZ$8:$BF$8, {"NON";"NEUT"}, AZ12:BF12))/config!$AC$16</f>
        <v>0.4</v>
      </c>
      <c r="CV12" s="512">
        <f t="shared" ref="CV12:CV75" si="45">AY12</f>
        <v>1.0416666666666666E-2</v>
      </c>
      <c r="CY12" s="67">
        <f>SUM(C16*$CY$108, C123*$CY$109, C230*$CY$110, C337*$CY$111, C444*$CY$112, C551*$CY$113, C658*$CY$114)/config!$AC$16</f>
        <v>0</v>
      </c>
      <c r="CZ12" s="68">
        <f>SUM(SUM(D16:E16)*$CY$108, SUM(D123:E123)*$CY$109, SUM(D230:E230)*$CY$110, SUM(D337:E337)*$CY$111, SUM(D444:E444)*$CY$112, SUM(D551:E551)*$CY$113, SUM(D658:E658)*$CY$114)/config!$AC$16</f>
        <v>0.4</v>
      </c>
      <c r="DA12" s="68">
        <f>SUM(SUM(F16:G16)*$CY$108, SUM(F123:G123)*$CY$109, SUM(F230:G230)*$CY$110, SUM(F337:G337)*$CY$111, SUM(F444:G444)*$CY$112, SUM(F551:G551)*$CY$113, SUM(F658:G658)*$CY$114)/config!$AC$16</f>
        <v>0</v>
      </c>
      <c r="DB12" s="68">
        <f>SUM(H16*$CY$108, H123*$CY$109, H230*$CY$110, H337*$CY$111, H444*$CY$112, H551*$CY$113, H658*$CY$114)/config!$AC$16</f>
        <v>0</v>
      </c>
      <c r="DC12" s="69">
        <f>SUM(SUM(I16:L16)*$CY$108, SUM(I123:L123)*$CY$109, SUM(I230:L230)*$CY$110, SUM(I337:L337)*$CY$111, SUM(I444:L444)*$CY$112, SUM(I551:L551)*$CY$113, SUM(I658:L658)*$CY$114)/config!$AC$16</f>
        <v>0</v>
      </c>
    </row>
    <row r="13" spans="1:107" s="153" customFormat="1" ht="15" x14ac:dyDescent="0.25">
      <c r="A13" s="440" t="s">
        <v>24</v>
      </c>
      <c r="B13" s="579" t="s">
        <v>24</v>
      </c>
      <c r="C13" s="443" t="s">
        <v>25</v>
      </c>
      <c r="D13" s="443" t="s">
        <v>26</v>
      </c>
      <c r="E13" s="443" t="s">
        <v>27</v>
      </c>
      <c r="F13" s="443" t="s">
        <v>28</v>
      </c>
      <c r="G13" s="443" t="s">
        <v>29</v>
      </c>
      <c r="H13" s="443" t="s">
        <v>30</v>
      </c>
      <c r="I13" s="443" t="s">
        <v>31</v>
      </c>
      <c r="J13" s="443" t="s">
        <v>32</v>
      </c>
      <c r="K13" s="443" t="s">
        <v>33</v>
      </c>
      <c r="L13" s="443" t="s">
        <v>34</v>
      </c>
      <c r="M13" s="580" t="s">
        <v>24</v>
      </c>
      <c r="N13" s="588" t="s">
        <v>24</v>
      </c>
      <c r="O13" s="579" t="str">
        <f>O120</f>
        <v>0</v>
      </c>
      <c r="P13" s="443" t="str">
        <f t="shared" ref="P13:AB14" si="46">P120</f>
        <v>10</v>
      </c>
      <c r="Q13" s="443" t="str">
        <f t="shared" si="46"/>
        <v>15</v>
      </c>
      <c r="R13" s="443" t="str">
        <f t="shared" si="46"/>
        <v>20</v>
      </c>
      <c r="S13" s="443" t="str">
        <f t="shared" si="46"/>
        <v>25</v>
      </c>
      <c r="T13" s="443" t="str">
        <f t="shared" si="46"/>
        <v>30</v>
      </c>
      <c r="U13" s="443" t="str">
        <f t="shared" si="46"/>
        <v>35</v>
      </c>
      <c r="V13" s="443" t="str">
        <f t="shared" si="46"/>
        <v>40</v>
      </c>
      <c r="W13" s="443" t="str">
        <f t="shared" si="46"/>
        <v>45</v>
      </c>
      <c r="X13" s="443" t="str">
        <f t="shared" si="46"/>
        <v>50</v>
      </c>
      <c r="Y13" s="443" t="str">
        <f t="shared" si="46"/>
        <v>60</v>
      </c>
      <c r="Z13" s="443" t="str">
        <f t="shared" si="46"/>
        <v>70</v>
      </c>
      <c r="AA13" s="443" t="str">
        <f t="shared" si="46"/>
        <v>80</v>
      </c>
      <c r="AB13" s="443" t="str">
        <f t="shared" si="46"/>
        <v>90</v>
      </c>
      <c r="AC13" s="444" t="s">
        <v>24</v>
      </c>
      <c r="AD13" s="444"/>
      <c r="AE13" s="443">
        <f t="shared" ref="AE13:AJ13" si="47">AE120</f>
        <v>60</v>
      </c>
      <c r="AF13" s="443">
        <f t="shared" si="47"/>
        <v>60</v>
      </c>
      <c r="AG13" s="445">
        <f t="shared" si="47"/>
        <v>65</v>
      </c>
      <c r="AH13" s="445">
        <f t="shared" si="47"/>
        <v>65</v>
      </c>
      <c r="AI13" s="445">
        <f t="shared" si="47"/>
        <v>75</v>
      </c>
      <c r="AJ13" s="633">
        <f t="shared" si="47"/>
        <v>75</v>
      </c>
      <c r="AP13" s="401">
        <f t="shared" si="40"/>
        <v>0</v>
      </c>
      <c r="AR13" s="56">
        <f t="shared" si="41"/>
        <v>2.0833333333333332E-2</v>
      </c>
      <c r="AS13" s="67">
        <f>SUM(C17,C124,C231,C338,C445,C552,C659)/config!$AC$13</f>
        <v>0</v>
      </c>
      <c r="AT13" s="68">
        <f>SUM(D17:E17,D124:E124,D231:E231,D338:E338,D445:E445,D552:E552,D659:E659)/config!$AC$13</f>
        <v>0.2857142857142857</v>
      </c>
      <c r="AU13" s="68">
        <f>SUM(F17:G17,F124:G124,F231:G231,F338:G338,F445:G445,F552:G552,F659:G659)/config!$AC$13</f>
        <v>0</v>
      </c>
      <c r="AV13" s="68">
        <f>SUM(H17,H124,H231,H338,H445,H552,H659)/config!$AC$13</f>
        <v>0</v>
      </c>
      <c r="AW13" s="69">
        <f>SUM(I17:L17,I124:L124,I231:L231,I338:L338,I445:L445,I552:L552,I659:L659)/config!$AC$13</f>
        <v>0</v>
      </c>
      <c r="AY13" s="56">
        <f t="shared" si="42"/>
        <v>2.0833333333333332E-2</v>
      </c>
      <c r="AZ13" s="70">
        <f t="shared" si="8"/>
        <v>0</v>
      </c>
      <c r="BA13" s="71">
        <f t="shared" si="9"/>
        <v>0</v>
      </c>
      <c r="BB13" s="71">
        <f t="shared" si="10"/>
        <v>0</v>
      </c>
      <c r="BC13" s="71">
        <f t="shared" si="11"/>
        <v>0</v>
      </c>
      <c r="BD13" s="71">
        <f t="shared" si="12"/>
        <v>0</v>
      </c>
      <c r="BE13" s="71">
        <f t="shared" si="13"/>
        <v>2</v>
      </c>
      <c r="BF13" s="72">
        <f t="shared" si="14"/>
        <v>0</v>
      </c>
      <c r="BG13" s="45"/>
      <c r="BH13" s="56">
        <f t="shared" si="15"/>
        <v>2.0833333333333332E-2</v>
      </c>
      <c r="BI13" s="67" t="str">
        <f t="shared" si="16"/>
        <v/>
      </c>
      <c r="BJ13" s="68" t="str">
        <f t="shared" si="17"/>
        <v/>
      </c>
      <c r="BK13" s="68" t="str">
        <f t="shared" si="18"/>
        <v/>
      </c>
      <c r="BL13" s="68" t="str">
        <f t="shared" si="19"/>
        <v/>
      </c>
      <c r="BM13" s="68" t="str">
        <f t="shared" si="20"/>
        <v/>
      </c>
      <c r="BN13" s="68">
        <f t="shared" si="21"/>
        <v>43.3</v>
      </c>
      <c r="BO13" s="69" t="str">
        <f t="shared" si="22"/>
        <v/>
      </c>
      <c r="BP13" s="63"/>
      <c r="BQ13" s="64">
        <f t="shared" si="23"/>
        <v>2.0833333333333332E-2</v>
      </c>
      <c r="BR13" s="67" t="str">
        <f t="shared" si="24"/>
        <v/>
      </c>
      <c r="BS13" s="68" t="str">
        <f t="shared" si="25"/>
        <v/>
      </c>
      <c r="BT13" s="68" t="str">
        <f t="shared" si="26"/>
        <v/>
      </c>
      <c r="BU13" s="68" t="str">
        <f t="shared" si="27"/>
        <v/>
      </c>
      <c r="BV13" s="68" t="str">
        <f t="shared" si="28"/>
        <v/>
      </c>
      <c r="BW13" s="68" t="str">
        <f t="shared" si="29"/>
        <v/>
      </c>
      <c r="BX13" s="69" t="str">
        <f t="shared" si="30"/>
        <v/>
      </c>
      <c r="BY13" s="65"/>
      <c r="BZ13" s="66">
        <f t="shared" si="43"/>
        <v>43.3</v>
      </c>
      <c r="CA13" s="414" t="e">
        <f t="shared" si="31"/>
        <v>#N/A</v>
      </c>
      <c r="CB13" s="416">
        <f t="shared" ref="CB13:CB76" si="48">CB12</f>
        <v>60</v>
      </c>
      <c r="CC13" s="65"/>
      <c r="CD13" s="67">
        <f t="shared" si="32"/>
        <v>0</v>
      </c>
      <c r="CE13" s="68">
        <f t="shared" si="33"/>
        <v>0</v>
      </c>
      <c r="CF13" s="68">
        <f t="shared" si="34"/>
        <v>0</v>
      </c>
      <c r="CG13" s="68">
        <f t="shared" si="35"/>
        <v>0</v>
      </c>
      <c r="CH13" s="68">
        <f t="shared" si="36"/>
        <v>0</v>
      </c>
      <c r="CI13" s="68">
        <f t="shared" si="37"/>
        <v>0</v>
      </c>
      <c r="CJ13" s="69">
        <f t="shared" si="38"/>
        <v>0</v>
      </c>
      <c r="CM13" s="67" t="str">
        <f t="shared" si="44"/>
        <v/>
      </c>
      <c r="CN13" s="68" t="str">
        <f t="shared" si="39"/>
        <v/>
      </c>
      <c r="CO13" s="68" t="str">
        <f t="shared" si="39"/>
        <v/>
      </c>
      <c r="CP13" s="68" t="str">
        <f t="shared" si="39"/>
        <v/>
      </c>
      <c r="CQ13" s="68" t="str">
        <f t="shared" si="39"/>
        <v/>
      </c>
      <c r="CR13" s="68">
        <f t="shared" si="39"/>
        <v>86.6</v>
      </c>
      <c r="CS13" s="69" t="str">
        <f t="shared" si="39"/>
        <v/>
      </c>
      <c r="CU13" s="511">
        <f>SUM(SUMIF($AZ$8:$BF$8, {"NON";"NEUT"}, AZ13:BF13))/config!$AC$16</f>
        <v>0</v>
      </c>
      <c r="CV13" s="512">
        <f t="shared" si="45"/>
        <v>2.0833333333333332E-2</v>
      </c>
      <c r="CY13" s="67">
        <f>SUM(C17*$CY$108, C124*$CY$109, C231*$CY$110, C338*$CY$111, C445*$CY$112, C552*$CY$113, C659*$CY$114)/config!$AC$16</f>
        <v>0</v>
      </c>
      <c r="CZ13" s="68">
        <f>SUM(SUM(D17:E17)*$CY$108, SUM(D124:E124)*$CY$109, SUM(D231:E231)*$CY$110, SUM(D338:E338)*$CY$111, SUM(D445:E445)*$CY$112, SUM(D552:E552)*$CY$113, SUM(D659:E659)*$CY$114)/config!$AC$16</f>
        <v>0</v>
      </c>
      <c r="DA13" s="68">
        <f>SUM(SUM(F17:G17)*$CY$108, SUM(F124:G124)*$CY$109, SUM(F231:G231)*$CY$110, SUM(F338:G338)*$CY$111, SUM(F445:G445)*$CY$112, SUM(F552:G552)*$CY$113, SUM(F659:G659)*$CY$114)/config!$AC$16</f>
        <v>0</v>
      </c>
      <c r="DB13" s="68">
        <f>SUM(H17*$CY$108, H124*$CY$109, H231*$CY$110, H338*$CY$111, H445*$CY$112, H552*$CY$113, H659*$CY$114)/config!$AC$16</f>
        <v>0</v>
      </c>
      <c r="DC13" s="69">
        <f>SUM(SUM(I17:L17)*$CY$108, SUM(I124:L124)*$CY$109, SUM(I231:L231)*$CY$110, SUM(I338:L338)*$CY$111, SUM(I445:L445)*$CY$112, SUM(I552:L552)*$CY$113, SUM(I659:L659)*$CY$114)/config!$AC$16</f>
        <v>0</v>
      </c>
    </row>
    <row r="14" spans="1:107" s="153" customFormat="1" ht="15.75" thickBot="1" x14ac:dyDescent="0.3">
      <c r="A14" s="440" t="s">
        <v>24</v>
      </c>
      <c r="B14" s="579" t="s">
        <v>24</v>
      </c>
      <c r="C14" s="582" t="s">
        <v>24</v>
      </c>
      <c r="D14" s="582" t="s">
        <v>24</v>
      </c>
      <c r="E14" s="582" t="s">
        <v>24</v>
      </c>
      <c r="F14" s="582" t="s">
        <v>24</v>
      </c>
      <c r="G14" s="582" t="s">
        <v>24</v>
      </c>
      <c r="H14" s="582" t="s">
        <v>24</v>
      </c>
      <c r="I14" s="582" t="s">
        <v>24</v>
      </c>
      <c r="J14" s="582" t="s">
        <v>24</v>
      </c>
      <c r="K14" s="582" t="s">
        <v>24</v>
      </c>
      <c r="L14" s="582" t="s">
        <v>24</v>
      </c>
      <c r="M14" s="583" t="s">
        <v>24</v>
      </c>
      <c r="N14" s="589" t="s">
        <v>24</v>
      </c>
      <c r="O14" s="581" t="str">
        <f>O121</f>
        <v>10</v>
      </c>
      <c r="P14" s="582" t="str">
        <f t="shared" si="46"/>
        <v>15</v>
      </c>
      <c r="Q14" s="582" t="str">
        <f t="shared" si="46"/>
        <v>20</v>
      </c>
      <c r="R14" s="582" t="str">
        <f t="shared" si="46"/>
        <v>25</v>
      </c>
      <c r="S14" s="582" t="str">
        <f t="shared" si="46"/>
        <v>30</v>
      </c>
      <c r="T14" s="582" t="str">
        <f t="shared" si="46"/>
        <v>35</v>
      </c>
      <c r="U14" s="582" t="str">
        <f t="shared" si="46"/>
        <v>40</v>
      </c>
      <c r="V14" s="582" t="str">
        <f t="shared" si="46"/>
        <v>45</v>
      </c>
      <c r="W14" s="582" t="str">
        <f t="shared" si="46"/>
        <v>50</v>
      </c>
      <c r="X14" s="582" t="str">
        <f t="shared" si="46"/>
        <v>60</v>
      </c>
      <c r="Y14" s="582" t="str">
        <f t="shared" si="46"/>
        <v>70</v>
      </c>
      <c r="Z14" s="582" t="str">
        <f t="shared" si="46"/>
        <v>80</v>
      </c>
      <c r="AA14" s="582" t="str">
        <f t="shared" si="46"/>
        <v>90</v>
      </c>
      <c r="AB14" s="582" t="str">
        <f t="shared" si="46"/>
        <v>100</v>
      </c>
      <c r="AC14" s="634" t="s">
        <v>24</v>
      </c>
      <c r="AD14" s="634" t="s">
        <v>24</v>
      </c>
      <c r="AE14" s="582" t="s">
        <v>24</v>
      </c>
      <c r="AF14" s="634" t="s">
        <v>24</v>
      </c>
      <c r="AG14" s="635" t="s">
        <v>35</v>
      </c>
      <c r="AH14" s="636" t="s">
        <v>35</v>
      </c>
      <c r="AI14" s="635" t="s">
        <v>36</v>
      </c>
      <c r="AJ14" s="637" t="s">
        <v>36</v>
      </c>
      <c r="AP14" s="401">
        <f t="shared" si="40"/>
        <v>0</v>
      </c>
      <c r="AR14" s="56">
        <f t="shared" si="41"/>
        <v>3.125E-2</v>
      </c>
      <c r="AS14" s="67">
        <f>SUM(C18,C125,C232,C339,C446,C553,C660)/config!$AC$13</f>
        <v>0</v>
      </c>
      <c r="AT14" s="68">
        <f>SUM(D18:E18,D125:E125,D232:E232,D339:E339,D446:E446,D553:E553,D660:E660)/config!$AC$13</f>
        <v>0.2857142857142857</v>
      </c>
      <c r="AU14" s="68">
        <f>SUM(F18:G18,F125:G125,F232:G232,F339:G339,F446:G446,F553:G553,F660:G660)/config!$AC$13</f>
        <v>0</v>
      </c>
      <c r="AV14" s="68">
        <f>SUM(H18,H125,H232,H339,H446,H553,H660)/config!$AC$13</f>
        <v>0</v>
      </c>
      <c r="AW14" s="69">
        <f>SUM(I18:L18,I125:L125,I232:L232,I339:L339,I446:L446,I553:L553,I660:L660)/config!$AC$13</f>
        <v>0</v>
      </c>
      <c r="AY14" s="56">
        <f t="shared" si="42"/>
        <v>3.125E-2</v>
      </c>
      <c r="AZ14" s="70">
        <f t="shared" si="8"/>
        <v>1</v>
      </c>
      <c r="BA14" s="71">
        <f t="shared" si="9"/>
        <v>0</v>
      </c>
      <c r="BB14" s="71">
        <f t="shared" si="10"/>
        <v>0</v>
      </c>
      <c r="BC14" s="71">
        <f t="shared" si="11"/>
        <v>0</v>
      </c>
      <c r="BD14" s="71">
        <f t="shared" si="12"/>
        <v>1</v>
      </c>
      <c r="BE14" s="71">
        <f t="shared" si="13"/>
        <v>0</v>
      </c>
      <c r="BF14" s="72">
        <f t="shared" si="14"/>
        <v>0</v>
      </c>
      <c r="BG14" s="45"/>
      <c r="BH14" s="56">
        <f t="shared" si="15"/>
        <v>3.125E-2</v>
      </c>
      <c r="BI14" s="67">
        <f t="shared" si="16"/>
        <v>35.5</v>
      </c>
      <c r="BJ14" s="68" t="str">
        <f t="shared" si="17"/>
        <v/>
      </c>
      <c r="BK14" s="68" t="str">
        <f t="shared" si="18"/>
        <v/>
      </c>
      <c r="BL14" s="68" t="str">
        <f t="shared" si="19"/>
        <v/>
      </c>
      <c r="BM14" s="68">
        <f t="shared" si="20"/>
        <v>32</v>
      </c>
      <c r="BN14" s="68" t="str">
        <f t="shared" si="21"/>
        <v/>
      </c>
      <c r="BO14" s="69" t="str">
        <f t="shared" si="22"/>
        <v/>
      </c>
      <c r="BP14" s="63"/>
      <c r="BQ14" s="64">
        <f t="shared" si="23"/>
        <v>3.125E-2</v>
      </c>
      <c r="BR14" s="67" t="str">
        <f t="shared" si="24"/>
        <v/>
      </c>
      <c r="BS14" s="68" t="str">
        <f t="shared" si="25"/>
        <v/>
      </c>
      <c r="BT14" s="68" t="str">
        <f t="shared" si="26"/>
        <v/>
      </c>
      <c r="BU14" s="68" t="str">
        <f t="shared" si="27"/>
        <v/>
      </c>
      <c r="BV14" s="68" t="str">
        <f t="shared" si="28"/>
        <v/>
      </c>
      <c r="BW14" s="68" t="str">
        <f t="shared" si="29"/>
        <v/>
      </c>
      <c r="BX14" s="69" t="str">
        <f t="shared" si="30"/>
        <v/>
      </c>
      <c r="BY14" s="65"/>
      <c r="BZ14" s="66">
        <f t="shared" si="43"/>
        <v>33.75</v>
      </c>
      <c r="CA14" s="414" t="e">
        <f t="shared" si="31"/>
        <v>#N/A</v>
      </c>
      <c r="CB14" s="416">
        <f t="shared" si="48"/>
        <v>60</v>
      </c>
      <c r="CC14" s="65"/>
      <c r="CD14" s="67">
        <f t="shared" si="32"/>
        <v>0</v>
      </c>
      <c r="CE14" s="68">
        <f t="shared" si="33"/>
        <v>0</v>
      </c>
      <c r="CF14" s="68">
        <f t="shared" si="34"/>
        <v>0</v>
      </c>
      <c r="CG14" s="68">
        <f t="shared" si="35"/>
        <v>0</v>
      </c>
      <c r="CH14" s="68">
        <f t="shared" si="36"/>
        <v>0</v>
      </c>
      <c r="CI14" s="68">
        <f t="shared" si="37"/>
        <v>0</v>
      </c>
      <c r="CJ14" s="69">
        <f t="shared" si="38"/>
        <v>0</v>
      </c>
      <c r="CM14" s="67">
        <f t="shared" si="44"/>
        <v>35.5</v>
      </c>
      <c r="CN14" s="68" t="str">
        <f t="shared" si="39"/>
        <v/>
      </c>
      <c r="CO14" s="68" t="str">
        <f t="shared" si="39"/>
        <v/>
      </c>
      <c r="CP14" s="68" t="str">
        <f t="shared" si="39"/>
        <v/>
      </c>
      <c r="CQ14" s="68">
        <f t="shared" si="39"/>
        <v>32</v>
      </c>
      <c r="CR14" s="68" t="str">
        <f t="shared" si="39"/>
        <v/>
      </c>
      <c r="CS14" s="69" t="str">
        <f t="shared" si="39"/>
        <v/>
      </c>
      <c r="CU14" s="511">
        <f>SUM(SUMIF($AZ$8:$BF$8, {"NON";"NEUT"}, AZ14:BF14))/config!$AC$16</f>
        <v>0.2</v>
      </c>
      <c r="CV14" s="512">
        <f t="shared" si="45"/>
        <v>3.125E-2</v>
      </c>
      <c r="CY14" s="67">
        <f>SUM(C18*$CY$108, C125*$CY$109, C232*$CY$110, C339*$CY$111, C446*$CY$112, C553*$CY$113, C660*$CY$114)/config!$AC$16</f>
        <v>0</v>
      </c>
      <c r="CZ14" s="68">
        <f>SUM(SUM(D18:E18)*$CY$108, SUM(D125:E125)*$CY$109, SUM(D232:E232)*$CY$110, SUM(D339:E339)*$CY$111, SUM(D446:E446)*$CY$112, SUM(D553:E553)*$CY$113, SUM(D660:E660)*$CY$114)/config!$AC$16</f>
        <v>0.2</v>
      </c>
      <c r="DA14" s="68">
        <f>SUM(SUM(F18:G18)*$CY$108, SUM(F125:G125)*$CY$109, SUM(F232:G232)*$CY$110, SUM(F339:G339)*$CY$111, SUM(F446:G446)*$CY$112, SUM(F553:G553)*$CY$113, SUM(F660:G660)*$CY$114)/config!$AC$16</f>
        <v>0</v>
      </c>
      <c r="DB14" s="68">
        <f>SUM(H18*$CY$108, H125*$CY$109, H232*$CY$110, H339*$CY$111, H446*$CY$112, H553*$CY$113, H660*$CY$114)/config!$AC$16</f>
        <v>0</v>
      </c>
      <c r="DC14" s="69">
        <f>SUM(SUM(I18:L18)*$CY$108, SUM(I125:L125)*$CY$109, SUM(I232:L232)*$CY$110, SUM(I339:L339)*$CY$111, SUM(I446:L446)*$CY$112, SUM(I553:L553)*$CY$113, SUM(I660:L660)*$CY$114)/config!$AC$16</f>
        <v>0</v>
      </c>
    </row>
    <row r="15" spans="1:107" ht="15.75" thickBot="1" x14ac:dyDescent="0.3">
      <c r="A15" s="440" t="s">
        <v>37</v>
      </c>
      <c r="B15" s="691">
        <v>0</v>
      </c>
      <c r="C15" s="652">
        <v>0</v>
      </c>
      <c r="D15" s="639">
        <v>0</v>
      </c>
      <c r="E15" s="639">
        <v>0</v>
      </c>
      <c r="F15" s="639">
        <v>0</v>
      </c>
      <c r="G15" s="639">
        <v>0</v>
      </c>
      <c r="H15" s="639">
        <v>0</v>
      </c>
      <c r="I15" s="639">
        <v>0</v>
      </c>
      <c r="J15" s="639">
        <v>0</v>
      </c>
      <c r="K15" s="639">
        <v>0</v>
      </c>
      <c r="L15" s="639">
        <v>0</v>
      </c>
      <c r="M15" s="653" t="s">
        <v>24</v>
      </c>
      <c r="N15" s="670" t="s">
        <v>37</v>
      </c>
      <c r="O15" s="638">
        <v>0</v>
      </c>
      <c r="P15" s="639">
        <v>0</v>
      </c>
      <c r="Q15" s="639">
        <v>0</v>
      </c>
      <c r="R15" s="639">
        <v>0</v>
      </c>
      <c r="S15" s="639">
        <v>0</v>
      </c>
      <c r="T15" s="639">
        <v>0</v>
      </c>
      <c r="U15" s="639">
        <v>0</v>
      </c>
      <c r="V15" s="639">
        <v>0</v>
      </c>
      <c r="W15" s="639">
        <v>0</v>
      </c>
      <c r="X15" s="639">
        <v>0</v>
      </c>
      <c r="Y15" s="639">
        <v>0</v>
      </c>
      <c r="Z15" s="639">
        <v>0</v>
      </c>
      <c r="AA15" s="639">
        <v>0</v>
      </c>
      <c r="AB15" s="639">
        <v>0</v>
      </c>
      <c r="AC15" s="640" t="s">
        <v>24</v>
      </c>
      <c r="AD15" s="640" t="s">
        <v>24</v>
      </c>
      <c r="AE15" s="639">
        <v>0</v>
      </c>
      <c r="AF15" s="640">
        <v>0</v>
      </c>
      <c r="AG15" s="639">
        <v>0</v>
      </c>
      <c r="AH15" s="640">
        <v>0</v>
      </c>
      <c r="AI15" s="639">
        <v>0</v>
      </c>
      <c r="AJ15" s="641">
        <v>0</v>
      </c>
      <c r="AP15" s="401">
        <f t="shared" si="40"/>
        <v>0</v>
      </c>
      <c r="AR15" s="56">
        <f t="shared" si="41"/>
        <v>4.1666666666666664E-2</v>
      </c>
      <c r="AS15" s="67">
        <f>SUM(C19,C126,C233,C340,C447,C554,C661)/config!$AC$13</f>
        <v>0</v>
      </c>
      <c r="AT15" s="68">
        <f>SUM(D19:E19,D126:E126,D233:E233,D340:E340,D447:E447,D554:E554,D661:E661)/config!$AC$13</f>
        <v>0.42857142857142855</v>
      </c>
      <c r="AU15" s="68">
        <f>SUM(F19:G19,F126:G126,F233:G233,F340:G340,F447:G447,F554:G554,F661:G661)/config!$AC$13</f>
        <v>0</v>
      </c>
      <c r="AV15" s="68">
        <f>SUM(H19,H126,H233,H340,H447,H554,H661)/config!$AC$13</f>
        <v>0</v>
      </c>
      <c r="AW15" s="69">
        <f>SUM(I19:L19,I126:L126,I233:L233,I340:L340,I447:L447,I554:L554,I661:L661)/config!$AC$13</f>
        <v>0</v>
      </c>
      <c r="AY15" s="56">
        <f t="shared" si="42"/>
        <v>4.1666666666666664E-2</v>
      </c>
      <c r="AZ15" s="70">
        <f t="shared" si="8"/>
        <v>0</v>
      </c>
      <c r="BA15" s="71">
        <f t="shared" si="9"/>
        <v>0</v>
      </c>
      <c r="BB15" s="71">
        <f t="shared" si="10"/>
        <v>0</v>
      </c>
      <c r="BC15" s="71">
        <f t="shared" si="11"/>
        <v>1</v>
      </c>
      <c r="BD15" s="71">
        <f t="shared" si="12"/>
        <v>1</v>
      </c>
      <c r="BE15" s="71">
        <f t="shared" si="13"/>
        <v>0</v>
      </c>
      <c r="BF15" s="72">
        <f t="shared" si="14"/>
        <v>1</v>
      </c>
      <c r="BG15" s="45"/>
      <c r="BH15" s="56">
        <f t="shared" si="15"/>
        <v>4.1666666666666664E-2</v>
      </c>
      <c r="BI15" s="67" t="str">
        <f t="shared" si="16"/>
        <v/>
      </c>
      <c r="BJ15" s="68" t="str">
        <f t="shared" si="17"/>
        <v/>
      </c>
      <c r="BK15" s="68" t="str">
        <f t="shared" si="18"/>
        <v/>
      </c>
      <c r="BL15" s="68">
        <f t="shared" si="19"/>
        <v>45.8</v>
      </c>
      <c r="BM15" s="68">
        <f t="shared" si="20"/>
        <v>41.5</v>
      </c>
      <c r="BN15" s="68" t="str">
        <f t="shared" si="21"/>
        <v/>
      </c>
      <c r="BO15" s="69">
        <f t="shared" si="22"/>
        <v>42.4</v>
      </c>
      <c r="BP15" s="63"/>
      <c r="BQ15" s="64">
        <f t="shared" si="23"/>
        <v>4.1666666666666664E-2</v>
      </c>
      <c r="BR15" s="67" t="str">
        <f t="shared" si="24"/>
        <v/>
      </c>
      <c r="BS15" s="68" t="str">
        <f t="shared" si="25"/>
        <v/>
      </c>
      <c r="BT15" s="68" t="str">
        <f t="shared" si="26"/>
        <v/>
      </c>
      <c r="BU15" s="68" t="str">
        <f t="shared" si="27"/>
        <v/>
      </c>
      <c r="BV15" s="68" t="str">
        <f t="shared" si="28"/>
        <v/>
      </c>
      <c r="BW15" s="68" t="str">
        <f t="shared" si="29"/>
        <v/>
      </c>
      <c r="BX15" s="69" t="str">
        <f t="shared" si="30"/>
        <v/>
      </c>
      <c r="BY15" s="65"/>
      <c r="BZ15" s="66">
        <f t="shared" si="43"/>
        <v>43.233333333333327</v>
      </c>
      <c r="CA15" s="414" t="e">
        <f t="shared" si="31"/>
        <v>#N/A</v>
      </c>
      <c r="CB15" s="416">
        <f t="shared" si="48"/>
        <v>60</v>
      </c>
      <c r="CC15" s="65"/>
      <c r="CD15" s="67">
        <f t="shared" si="32"/>
        <v>0</v>
      </c>
      <c r="CE15" s="68">
        <f t="shared" si="33"/>
        <v>0</v>
      </c>
      <c r="CF15" s="68">
        <f t="shared" si="34"/>
        <v>0</v>
      </c>
      <c r="CG15" s="68">
        <f t="shared" si="35"/>
        <v>0</v>
      </c>
      <c r="CH15" s="68">
        <f t="shared" si="36"/>
        <v>0</v>
      </c>
      <c r="CI15" s="68">
        <f t="shared" si="37"/>
        <v>0</v>
      </c>
      <c r="CJ15" s="69">
        <f t="shared" si="38"/>
        <v>0</v>
      </c>
      <c r="CM15" s="67" t="str">
        <f t="shared" si="44"/>
        <v/>
      </c>
      <c r="CN15" s="68" t="str">
        <f t="shared" si="39"/>
        <v/>
      </c>
      <c r="CO15" s="68" t="str">
        <f t="shared" si="39"/>
        <v/>
      </c>
      <c r="CP15" s="68">
        <f t="shared" si="39"/>
        <v>45.8</v>
      </c>
      <c r="CQ15" s="68">
        <f t="shared" si="39"/>
        <v>41.5</v>
      </c>
      <c r="CR15" s="68" t="str">
        <f t="shared" si="39"/>
        <v/>
      </c>
      <c r="CS15" s="69">
        <f t="shared" si="39"/>
        <v>42.4</v>
      </c>
      <c r="CU15" s="511">
        <f>SUM(SUMIF($AZ$8:$BF$8, {"NON";"NEUT"}, AZ15:BF15))/config!$AC$16</f>
        <v>0.4</v>
      </c>
      <c r="CV15" s="512">
        <f t="shared" si="45"/>
        <v>4.1666666666666664E-2</v>
      </c>
      <c r="CY15" s="67">
        <f>SUM(C19*$CY$108, C126*$CY$109, C233*$CY$110, C340*$CY$111, C447*$CY$112, C554*$CY$113, C661*$CY$114)/config!$AC$16</f>
        <v>0</v>
      </c>
      <c r="CZ15" s="68">
        <f>SUM(SUM(D19:E19)*$CY$108, SUM(D126:E126)*$CY$109, SUM(D233:E233)*$CY$110, SUM(D340:E340)*$CY$111, SUM(D447:E447)*$CY$112, SUM(D554:E554)*$CY$113, SUM(D661:E661)*$CY$114)/config!$AC$16</f>
        <v>0.4</v>
      </c>
      <c r="DA15" s="68">
        <f>SUM(SUM(F19:G19)*$CY$108, SUM(F126:G126)*$CY$109, SUM(F233:G233)*$CY$110, SUM(F340:G340)*$CY$111, SUM(F447:G447)*$CY$112, SUM(F554:G554)*$CY$113, SUM(F661:G661)*$CY$114)/config!$AC$16</f>
        <v>0</v>
      </c>
      <c r="DB15" s="68">
        <f>SUM(H19*$CY$108, H126*$CY$109, H233*$CY$110, H340*$CY$111, H447*$CY$112, H554*$CY$113, H661*$CY$114)/config!$AC$16</f>
        <v>0</v>
      </c>
      <c r="DC15" s="69">
        <f>SUM(SUM(I19:L19)*$CY$108, SUM(I126:L126)*$CY$109, SUM(I233:L233)*$CY$110, SUM(I340:L340)*$CY$111, SUM(I447:L447)*$CY$112, SUM(I554:L554)*$CY$113, SUM(I661:L661)*$CY$114)/config!$AC$16</f>
        <v>0</v>
      </c>
    </row>
    <row r="16" spans="1:107" ht="15" x14ac:dyDescent="0.25">
      <c r="A16" s="440" t="s">
        <v>38</v>
      </c>
      <c r="B16" s="646">
        <v>0</v>
      </c>
      <c r="C16" s="184">
        <v>0</v>
      </c>
      <c r="D16" s="184">
        <v>0</v>
      </c>
      <c r="E16" s="184">
        <v>0</v>
      </c>
      <c r="F16" s="184">
        <v>0</v>
      </c>
      <c r="G16" s="184">
        <v>0</v>
      </c>
      <c r="H16" s="184">
        <v>0</v>
      </c>
      <c r="I16" s="184">
        <v>0</v>
      </c>
      <c r="J16" s="184">
        <v>0</v>
      </c>
      <c r="K16" s="184">
        <v>0</v>
      </c>
      <c r="L16" s="184">
        <v>0</v>
      </c>
      <c r="M16" s="654" t="s">
        <v>24</v>
      </c>
      <c r="N16" s="670" t="s">
        <v>38</v>
      </c>
      <c r="O16" s="642">
        <v>0</v>
      </c>
      <c r="P16" s="184">
        <v>0</v>
      </c>
      <c r="Q16" s="184">
        <v>0</v>
      </c>
      <c r="R16" s="184">
        <v>0</v>
      </c>
      <c r="S16" s="184">
        <v>0</v>
      </c>
      <c r="T16" s="184">
        <v>0</v>
      </c>
      <c r="U16" s="184">
        <v>0</v>
      </c>
      <c r="V16" s="184">
        <v>0</v>
      </c>
      <c r="W16" s="184">
        <v>0</v>
      </c>
      <c r="X16" s="184">
        <v>0</v>
      </c>
      <c r="Y16" s="184">
        <v>0</v>
      </c>
      <c r="Z16" s="184">
        <v>0</v>
      </c>
      <c r="AA16" s="184">
        <v>0</v>
      </c>
      <c r="AB16" s="184">
        <v>0</v>
      </c>
      <c r="AC16" s="185" t="s">
        <v>24</v>
      </c>
      <c r="AD16" s="185" t="s">
        <v>24</v>
      </c>
      <c r="AE16" s="184">
        <v>0</v>
      </c>
      <c r="AF16" s="185">
        <v>0</v>
      </c>
      <c r="AG16" s="184">
        <v>0</v>
      </c>
      <c r="AH16" s="185">
        <v>0</v>
      </c>
      <c r="AI16" s="184">
        <v>0</v>
      </c>
      <c r="AJ16" s="643">
        <v>0</v>
      </c>
      <c r="AP16" s="401">
        <f t="shared" si="40"/>
        <v>0</v>
      </c>
      <c r="AR16" s="56">
        <f t="shared" si="41"/>
        <v>5.2083333333333329E-2</v>
      </c>
      <c r="AS16" s="67">
        <f>SUM(C20,C127,C234,C341,C448,C555,C662)/config!$AC$13</f>
        <v>0</v>
      </c>
      <c r="AT16" s="68">
        <f>SUM(D20:E20,D127:E127,D234:E234,D341:E341,D448:E448,D555:E555,D662:E662)/config!$AC$13</f>
        <v>0.2857142857142857</v>
      </c>
      <c r="AU16" s="68">
        <f>SUM(F20:G20,F127:G127,F234:G234,F341:G341,F448:G448,F555:G555,F662:G662)/config!$AC$13</f>
        <v>0</v>
      </c>
      <c r="AV16" s="68">
        <f>SUM(H20,H127,H234,H341,H448,H555,H662)/config!$AC$13</f>
        <v>0</v>
      </c>
      <c r="AW16" s="69">
        <f>SUM(I20:L20,I127:L127,I234:L234,I341:L341,I448:L448,I555:L555,I662:L662)/config!$AC$13</f>
        <v>0</v>
      </c>
      <c r="AY16" s="56">
        <f t="shared" si="42"/>
        <v>5.2083333333333329E-2</v>
      </c>
      <c r="AZ16" s="70">
        <f t="shared" si="8"/>
        <v>0</v>
      </c>
      <c r="BA16" s="71">
        <f t="shared" si="9"/>
        <v>0</v>
      </c>
      <c r="BB16" s="71">
        <f t="shared" si="10"/>
        <v>0</v>
      </c>
      <c r="BC16" s="71">
        <f t="shared" si="11"/>
        <v>0</v>
      </c>
      <c r="BD16" s="71">
        <f t="shared" si="12"/>
        <v>1</v>
      </c>
      <c r="BE16" s="71">
        <f t="shared" si="13"/>
        <v>1</v>
      </c>
      <c r="BF16" s="72">
        <f t="shared" si="14"/>
        <v>0</v>
      </c>
      <c r="BG16" s="45"/>
      <c r="BH16" s="56">
        <f t="shared" si="15"/>
        <v>5.2083333333333329E-2</v>
      </c>
      <c r="BI16" s="67" t="str">
        <f t="shared" si="16"/>
        <v/>
      </c>
      <c r="BJ16" s="68" t="str">
        <f t="shared" si="17"/>
        <v/>
      </c>
      <c r="BK16" s="68" t="str">
        <f t="shared" si="18"/>
        <v/>
      </c>
      <c r="BL16" s="68" t="str">
        <f t="shared" si="19"/>
        <v/>
      </c>
      <c r="BM16" s="68">
        <f t="shared" si="20"/>
        <v>48</v>
      </c>
      <c r="BN16" s="68">
        <f t="shared" si="21"/>
        <v>40.1</v>
      </c>
      <c r="BO16" s="69" t="str">
        <f t="shared" si="22"/>
        <v/>
      </c>
      <c r="BP16" s="63"/>
      <c r="BQ16" s="64">
        <f t="shared" si="23"/>
        <v>5.2083333333333329E-2</v>
      </c>
      <c r="BR16" s="67" t="str">
        <f t="shared" si="24"/>
        <v/>
      </c>
      <c r="BS16" s="68" t="str">
        <f t="shared" si="25"/>
        <v/>
      </c>
      <c r="BT16" s="68" t="str">
        <f t="shared" si="26"/>
        <v/>
      </c>
      <c r="BU16" s="68" t="str">
        <f t="shared" si="27"/>
        <v/>
      </c>
      <c r="BV16" s="68" t="str">
        <f t="shared" si="28"/>
        <v/>
      </c>
      <c r="BW16" s="68" t="str">
        <f t="shared" si="29"/>
        <v/>
      </c>
      <c r="BX16" s="69" t="str">
        <f t="shared" si="30"/>
        <v/>
      </c>
      <c r="BY16" s="65"/>
      <c r="BZ16" s="66">
        <f t="shared" si="43"/>
        <v>44.05</v>
      </c>
      <c r="CA16" s="414" t="e">
        <f t="shared" si="31"/>
        <v>#N/A</v>
      </c>
      <c r="CB16" s="416">
        <f t="shared" si="48"/>
        <v>60</v>
      </c>
      <c r="CC16" s="65"/>
      <c r="CD16" s="67">
        <f t="shared" si="32"/>
        <v>0</v>
      </c>
      <c r="CE16" s="68">
        <f t="shared" si="33"/>
        <v>0</v>
      </c>
      <c r="CF16" s="68">
        <f t="shared" si="34"/>
        <v>0</v>
      </c>
      <c r="CG16" s="68">
        <f t="shared" si="35"/>
        <v>0</v>
      </c>
      <c r="CH16" s="68">
        <f t="shared" si="36"/>
        <v>0</v>
      </c>
      <c r="CI16" s="68">
        <f t="shared" si="37"/>
        <v>0</v>
      </c>
      <c r="CJ16" s="69">
        <f t="shared" si="38"/>
        <v>0</v>
      </c>
      <c r="CM16" s="67" t="str">
        <f t="shared" si="44"/>
        <v/>
      </c>
      <c r="CN16" s="68" t="str">
        <f t="shared" si="39"/>
        <v/>
      </c>
      <c r="CO16" s="68" t="str">
        <f t="shared" si="39"/>
        <v/>
      </c>
      <c r="CP16" s="68" t="str">
        <f t="shared" si="39"/>
        <v/>
      </c>
      <c r="CQ16" s="68">
        <f t="shared" si="39"/>
        <v>48</v>
      </c>
      <c r="CR16" s="68">
        <f t="shared" si="39"/>
        <v>40.1</v>
      </c>
      <c r="CS16" s="69" t="str">
        <f t="shared" si="39"/>
        <v/>
      </c>
      <c r="CU16" s="511">
        <f>SUM(SUMIF($AZ$8:$BF$8, {"NON";"NEUT"}, AZ16:BF16))/config!$AC$16</f>
        <v>0</v>
      </c>
      <c r="CV16" s="512">
        <f t="shared" si="45"/>
        <v>5.2083333333333329E-2</v>
      </c>
      <c r="CY16" s="67">
        <f>SUM(C20*$CY$108, C127*$CY$109, C234*$CY$110, C341*$CY$111, C448*$CY$112, C555*$CY$113, C662*$CY$114)/config!$AC$16</f>
        <v>0</v>
      </c>
      <c r="CZ16" s="68">
        <f>SUM(SUM(D20:E20)*$CY$108, SUM(D127:E127)*$CY$109, SUM(D234:E234)*$CY$110, SUM(D341:E341)*$CY$111, SUM(D448:E448)*$CY$112, SUM(D555:E555)*$CY$113, SUM(D662:E662)*$CY$114)/config!$AC$16</f>
        <v>0</v>
      </c>
      <c r="DA16" s="68">
        <f>SUM(SUM(F20:G20)*$CY$108, SUM(F127:G127)*$CY$109, SUM(F234:G234)*$CY$110, SUM(F341:G341)*$CY$111, SUM(F448:G448)*$CY$112, SUM(F555:G555)*$CY$113, SUM(F662:G662)*$CY$114)/config!$AC$16</f>
        <v>0</v>
      </c>
      <c r="DB16" s="68">
        <f>SUM(H20*$CY$108, H127*$CY$109, H234*$CY$110, H341*$CY$111, H448*$CY$112, H555*$CY$113, H662*$CY$114)/config!$AC$16</f>
        <v>0</v>
      </c>
      <c r="DC16" s="69">
        <f>SUM(SUM(I20:L20)*$CY$108, SUM(I127:L127)*$CY$109, SUM(I234:L234)*$CY$110, SUM(I341:L341)*$CY$111, SUM(I448:L448)*$CY$112, SUM(I555:L555)*$CY$113, SUM(I662:L662)*$CY$114)/config!$AC$16</f>
        <v>0</v>
      </c>
    </row>
    <row r="17" spans="1:107" ht="15" x14ac:dyDescent="0.25">
      <c r="A17" s="440" t="s">
        <v>40</v>
      </c>
      <c r="B17" s="642">
        <v>0</v>
      </c>
      <c r="C17" s="184">
        <v>0</v>
      </c>
      <c r="D17" s="184">
        <v>0</v>
      </c>
      <c r="E17" s="184">
        <v>0</v>
      </c>
      <c r="F17" s="184">
        <v>0</v>
      </c>
      <c r="G17" s="184">
        <v>0</v>
      </c>
      <c r="H17" s="184">
        <v>0</v>
      </c>
      <c r="I17" s="184">
        <v>0</v>
      </c>
      <c r="J17" s="184">
        <v>0</v>
      </c>
      <c r="K17" s="184">
        <v>0</v>
      </c>
      <c r="L17" s="184">
        <v>0</v>
      </c>
      <c r="M17" s="654" t="s">
        <v>24</v>
      </c>
      <c r="N17" s="670" t="s">
        <v>40</v>
      </c>
      <c r="O17" s="642">
        <v>0</v>
      </c>
      <c r="P17" s="184">
        <v>0</v>
      </c>
      <c r="Q17" s="184">
        <v>0</v>
      </c>
      <c r="R17" s="184">
        <v>0</v>
      </c>
      <c r="S17" s="184">
        <v>0</v>
      </c>
      <c r="T17" s="184">
        <v>0</v>
      </c>
      <c r="U17" s="184">
        <v>0</v>
      </c>
      <c r="V17" s="184">
        <v>0</v>
      </c>
      <c r="W17" s="184">
        <v>0</v>
      </c>
      <c r="X17" s="184">
        <v>0</v>
      </c>
      <c r="Y17" s="184">
        <v>0</v>
      </c>
      <c r="Z17" s="184">
        <v>0</v>
      </c>
      <c r="AA17" s="184">
        <v>0</v>
      </c>
      <c r="AB17" s="184">
        <v>0</v>
      </c>
      <c r="AC17" s="185" t="s">
        <v>24</v>
      </c>
      <c r="AD17" s="185" t="s">
        <v>24</v>
      </c>
      <c r="AE17" s="184">
        <v>0</v>
      </c>
      <c r="AF17" s="185">
        <v>0</v>
      </c>
      <c r="AG17" s="184">
        <v>0</v>
      </c>
      <c r="AH17" s="185">
        <v>0</v>
      </c>
      <c r="AI17" s="184">
        <v>0</v>
      </c>
      <c r="AJ17" s="643">
        <v>0</v>
      </c>
      <c r="AP17" s="401">
        <f t="shared" si="40"/>
        <v>0</v>
      </c>
      <c r="AR17" s="56">
        <f t="shared" si="41"/>
        <v>6.2499999999999993E-2</v>
      </c>
      <c r="AS17" s="67">
        <f>SUM(C21,C128,C235,C342,C449,C556,C663)/config!$AC$13</f>
        <v>0</v>
      </c>
      <c r="AT17" s="68">
        <f>SUM(D21:E21,D128:E128,D235:E235,D342:E342,D449:E449,D556:E556,D663:E663)/config!$AC$13</f>
        <v>0</v>
      </c>
      <c r="AU17" s="68">
        <f>SUM(F21:G21,F128:G128,F235:G235,F342:G342,F449:G449,F556:G556,F663:G663)/config!$AC$13</f>
        <v>0</v>
      </c>
      <c r="AV17" s="68">
        <f>SUM(H21,H128,H235,H342,H449,H556,H663)/config!$AC$13</f>
        <v>0</v>
      </c>
      <c r="AW17" s="69">
        <f>SUM(I21:L21,I128:L128,I235:L235,I342:L342,I449:L449,I556:L556,I663:L663)/config!$AC$13</f>
        <v>0</v>
      </c>
      <c r="AY17" s="56">
        <f t="shared" si="42"/>
        <v>6.2499999999999993E-2</v>
      </c>
      <c r="AZ17" s="70">
        <f t="shared" si="8"/>
        <v>0</v>
      </c>
      <c r="BA17" s="71">
        <f t="shared" si="9"/>
        <v>0</v>
      </c>
      <c r="BB17" s="71">
        <f t="shared" si="10"/>
        <v>0</v>
      </c>
      <c r="BC17" s="71">
        <f t="shared" si="11"/>
        <v>0</v>
      </c>
      <c r="BD17" s="71">
        <f t="shared" si="12"/>
        <v>0</v>
      </c>
      <c r="BE17" s="71">
        <f t="shared" si="13"/>
        <v>0</v>
      </c>
      <c r="BF17" s="72">
        <f t="shared" si="14"/>
        <v>0</v>
      </c>
      <c r="BG17" s="45"/>
      <c r="BH17" s="56">
        <f t="shared" si="15"/>
        <v>6.2499999999999993E-2</v>
      </c>
      <c r="BI17" s="67" t="str">
        <f t="shared" si="16"/>
        <v/>
      </c>
      <c r="BJ17" s="68" t="str">
        <f t="shared" si="17"/>
        <v/>
      </c>
      <c r="BK17" s="68" t="str">
        <f t="shared" si="18"/>
        <v/>
      </c>
      <c r="BL17" s="68" t="str">
        <f t="shared" si="19"/>
        <v/>
      </c>
      <c r="BM17" s="68" t="str">
        <f t="shared" si="20"/>
        <v/>
      </c>
      <c r="BN17" s="68" t="str">
        <f t="shared" si="21"/>
        <v/>
      </c>
      <c r="BO17" s="69" t="str">
        <f t="shared" si="22"/>
        <v/>
      </c>
      <c r="BP17" s="63"/>
      <c r="BQ17" s="64">
        <f t="shared" si="23"/>
        <v>6.2499999999999993E-2</v>
      </c>
      <c r="BR17" s="67" t="str">
        <f t="shared" si="24"/>
        <v/>
      </c>
      <c r="BS17" s="68" t="str">
        <f t="shared" si="25"/>
        <v/>
      </c>
      <c r="BT17" s="68" t="str">
        <f t="shared" si="26"/>
        <v/>
      </c>
      <c r="BU17" s="68" t="str">
        <f t="shared" si="27"/>
        <v/>
      </c>
      <c r="BV17" s="68" t="str">
        <f t="shared" si="28"/>
        <v/>
      </c>
      <c r="BW17" s="68" t="str">
        <f t="shared" si="29"/>
        <v/>
      </c>
      <c r="BX17" s="69" t="str">
        <f t="shared" si="30"/>
        <v/>
      </c>
      <c r="BY17" s="65"/>
      <c r="BZ17" s="66" t="e">
        <f t="shared" si="43"/>
        <v>#N/A</v>
      </c>
      <c r="CA17" s="414" t="e">
        <f t="shared" si="31"/>
        <v>#N/A</v>
      </c>
      <c r="CB17" s="416">
        <f t="shared" si="48"/>
        <v>60</v>
      </c>
      <c r="CC17" s="65"/>
      <c r="CD17" s="67">
        <f t="shared" si="32"/>
        <v>0</v>
      </c>
      <c r="CE17" s="68">
        <f t="shared" si="33"/>
        <v>0</v>
      </c>
      <c r="CF17" s="68">
        <f t="shared" si="34"/>
        <v>0</v>
      </c>
      <c r="CG17" s="68">
        <f t="shared" si="35"/>
        <v>0</v>
      </c>
      <c r="CH17" s="68">
        <f t="shared" si="36"/>
        <v>0</v>
      </c>
      <c r="CI17" s="68">
        <f t="shared" si="37"/>
        <v>0</v>
      </c>
      <c r="CJ17" s="69">
        <f t="shared" si="38"/>
        <v>0</v>
      </c>
      <c r="CM17" s="67" t="str">
        <f t="shared" si="44"/>
        <v/>
      </c>
      <c r="CN17" s="68" t="str">
        <f t="shared" si="39"/>
        <v/>
      </c>
      <c r="CO17" s="68" t="str">
        <f t="shared" si="39"/>
        <v/>
      </c>
      <c r="CP17" s="68" t="str">
        <f t="shared" si="39"/>
        <v/>
      </c>
      <c r="CQ17" s="68" t="str">
        <f t="shared" si="39"/>
        <v/>
      </c>
      <c r="CR17" s="68" t="str">
        <f t="shared" si="39"/>
        <v/>
      </c>
      <c r="CS17" s="69" t="str">
        <f t="shared" si="39"/>
        <v/>
      </c>
      <c r="CU17" s="511">
        <f>SUM(SUMIF($AZ$8:$BF$8, {"NON";"NEUT"}, AZ17:BF17))/config!$AC$16</f>
        <v>0</v>
      </c>
      <c r="CV17" s="512">
        <f t="shared" si="45"/>
        <v>6.2499999999999993E-2</v>
      </c>
      <c r="CY17" s="67">
        <f>SUM(C21*$CY$108, C128*$CY$109, C235*$CY$110, C342*$CY$111, C449*$CY$112, C556*$CY$113, C663*$CY$114)/config!$AC$16</f>
        <v>0</v>
      </c>
      <c r="CZ17" s="68">
        <f>SUM(SUM(D21:E21)*$CY$108, SUM(D128:E128)*$CY$109, SUM(D235:E235)*$CY$110, SUM(D342:E342)*$CY$111, SUM(D449:E449)*$CY$112, SUM(D556:E556)*$CY$113, SUM(D663:E663)*$CY$114)/config!$AC$16</f>
        <v>0</v>
      </c>
      <c r="DA17" s="68">
        <f>SUM(SUM(F21:G21)*$CY$108, SUM(F128:G128)*$CY$109, SUM(F235:G235)*$CY$110, SUM(F342:G342)*$CY$111, SUM(F449:G449)*$CY$112, SUM(F556:G556)*$CY$113, SUM(F663:G663)*$CY$114)/config!$AC$16</f>
        <v>0</v>
      </c>
      <c r="DB17" s="68">
        <f>SUM(H21*$CY$108, H128*$CY$109, H235*$CY$110, H342*$CY$111, H449*$CY$112, H556*$CY$113, H663*$CY$114)/config!$AC$16</f>
        <v>0</v>
      </c>
      <c r="DC17" s="69">
        <f>SUM(SUM(I21:L21)*$CY$108, SUM(I128:L128)*$CY$109, SUM(I235:L235)*$CY$110, SUM(I342:L342)*$CY$111, SUM(I449:L449)*$CY$112, SUM(I556:L556)*$CY$113, SUM(I663:L663)*$CY$114)/config!$AC$16</f>
        <v>0</v>
      </c>
    </row>
    <row r="18" spans="1:107" ht="15" x14ac:dyDescent="0.25">
      <c r="A18" s="440" t="s">
        <v>42</v>
      </c>
      <c r="B18" s="642">
        <v>1</v>
      </c>
      <c r="C18" s="184">
        <v>0</v>
      </c>
      <c r="D18" s="184">
        <v>1</v>
      </c>
      <c r="E18" s="184">
        <v>0</v>
      </c>
      <c r="F18" s="184">
        <v>0</v>
      </c>
      <c r="G18" s="184">
        <v>0</v>
      </c>
      <c r="H18" s="184">
        <v>0</v>
      </c>
      <c r="I18" s="184">
        <v>0</v>
      </c>
      <c r="J18" s="184">
        <v>0</v>
      </c>
      <c r="K18" s="184">
        <v>0</v>
      </c>
      <c r="L18" s="184">
        <v>0</v>
      </c>
      <c r="M18" s="654" t="s">
        <v>24</v>
      </c>
      <c r="N18" s="670" t="s">
        <v>42</v>
      </c>
      <c r="O18" s="642">
        <v>0</v>
      </c>
      <c r="P18" s="184">
        <v>0</v>
      </c>
      <c r="Q18" s="184">
        <v>0</v>
      </c>
      <c r="R18" s="184">
        <v>0</v>
      </c>
      <c r="S18" s="184">
        <v>0</v>
      </c>
      <c r="T18" s="184">
        <v>0</v>
      </c>
      <c r="U18" s="184">
        <v>1</v>
      </c>
      <c r="V18" s="184">
        <v>0</v>
      </c>
      <c r="W18" s="184">
        <v>0</v>
      </c>
      <c r="X18" s="184">
        <v>0</v>
      </c>
      <c r="Y18" s="184">
        <v>0</v>
      </c>
      <c r="Z18" s="184">
        <v>0</v>
      </c>
      <c r="AA18" s="184">
        <v>0</v>
      </c>
      <c r="AB18" s="184">
        <v>0</v>
      </c>
      <c r="AC18" s="185">
        <v>35.5</v>
      </c>
      <c r="AD18" s="185" t="s">
        <v>24</v>
      </c>
      <c r="AE18" s="184">
        <v>0</v>
      </c>
      <c r="AF18" s="185">
        <v>0</v>
      </c>
      <c r="AG18" s="184">
        <v>0</v>
      </c>
      <c r="AH18" s="185">
        <v>0</v>
      </c>
      <c r="AI18" s="184">
        <v>0</v>
      </c>
      <c r="AJ18" s="643">
        <v>0</v>
      </c>
      <c r="AP18" s="401">
        <f t="shared" si="40"/>
        <v>0</v>
      </c>
      <c r="AR18" s="56">
        <f t="shared" si="41"/>
        <v>7.2916666666666657E-2</v>
      </c>
      <c r="AS18" s="67">
        <f>SUM(C22,C129,C236,C343,C450,C557,C664)/config!$AC$13</f>
        <v>0</v>
      </c>
      <c r="AT18" s="68">
        <f>SUM(D22:E22,D129:E129,D236:E236,D343:E343,D450:E450,D557:E557,D664:E664)/config!$AC$13</f>
        <v>0.14285714285714285</v>
      </c>
      <c r="AU18" s="68">
        <f>SUM(F22:G22,F129:G129,F236:G236,F343:G343,F450:G450,F557:G557,F664:G664)/config!$AC$13</f>
        <v>0</v>
      </c>
      <c r="AV18" s="68">
        <f>SUM(H22,H129,H236,H343,H450,H557,H664)/config!$AC$13</f>
        <v>0</v>
      </c>
      <c r="AW18" s="69">
        <f>SUM(I22:L22,I129:L129,I236:L236,I343:L343,I450:L450,I557:L557,I664:L664)/config!$AC$13</f>
        <v>0</v>
      </c>
      <c r="AY18" s="56">
        <f t="shared" si="42"/>
        <v>7.2916666666666657E-2</v>
      </c>
      <c r="AZ18" s="70">
        <f t="shared" si="8"/>
        <v>0</v>
      </c>
      <c r="BA18" s="71">
        <f t="shared" si="9"/>
        <v>0</v>
      </c>
      <c r="BB18" s="71">
        <f t="shared" si="10"/>
        <v>0</v>
      </c>
      <c r="BC18" s="71">
        <f t="shared" si="11"/>
        <v>0</v>
      </c>
      <c r="BD18" s="71">
        <f t="shared" si="12"/>
        <v>1</v>
      </c>
      <c r="BE18" s="71">
        <f t="shared" si="13"/>
        <v>0</v>
      </c>
      <c r="BF18" s="72">
        <f t="shared" si="14"/>
        <v>0</v>
      </c>
      <c r="BG18" s="45"/>
      <c r="BH18" s="56">
        <f t="shared" si="15"/>
        <v>7.2916666666666657E-2</v>
      </c>
      <c r="BI18" s="67" t="str">
        <f t="shared" si="16"/>
        <v/>
      </c>
      <c r="BJ18" s="68" t="str">
        <f t="shared" si="17"/>
        <v/>
      </c>
      <c r="BK18" s="68" t="str">
        <f t="shared" si="18"/>
        <v/>
      </c>
      <c r="BL18" s="68" t="str">
        <f t="shared" si="19"/>
        <v/>
      </c>
      <c r="BM18" s="68">
        <f t="shared" si="20"/>
        <v>36</v>
      </c>
      <c r="BN18" s="68" t="str">
        <f t="shared" si="21"/>
        <v/>
      </c>
      <c r="BO18" s="69" t="str">
        <f t="shared" si="22"/>
        <v/>
      </c>
      <c r="BP18" s="63"/>
      <c r="BQ18" s="64">
        <f t="shared" si="23"/>
        <v>7.2916666666666657E-2</v>
      </c>
      <c r="BR18" s="67" t="str">
        <f t="shared" si="24"/>
        <v/>
      </c>
      <c r="BS18" s="68" t="str">
        <f t="shared" si="25"/>
        <v/>
      </c>
      <c r="BT18" s="68" t="str">
        <f t="shared" si="26"/>
        <v/>
      </c>
      <c r="BU18" s="68" t="str">
        <f t="shared" si="27"/>
        <v/>
      </c>
      <c r="BV18" s="68" t="str">
        <f t="shared" si="28"/>
        <v/>
      </c>
      <c r="BW18" s="68" t="str">
        <f t="shared" si="29"/>
        <v/>
      </c>
      <c r="BX18" s="69" t="str">
        <f t="shared" si="30"/>
        <v/>
      </c>
      <c r="BY18" s="65"/>
      <c r="BZ18" s="66">
        <f t="shared" si="43"/>
        <v>36</v>
      </c>
      <c r="CA18" s="414" t="e">
        <f t="shared" si="31"/>
        <v>#N/A</v>
      </c>
      <c r="CB18" s="416">
        <f t="shared" si="48"/>
        <v>60</v>
      </c>
      <c r="CC18" s="65"/>
      <c r="CD18" s="67">
        <f t="shared" si="32"/>
        <v>0</v>
      </c>
      <c r="CE18" s="68">
        <f t="shared" si="33"/>
        <v>0</v>
      </c>
      <c r="CF18" s="68">
        <f t="shared" si="34"/>
        <v>0</v>
      </c>
      <c r="CG18" s="68">
        <f t="shared" si="35"/>
        <v>0</v>
      </c>
      <c r="CH18" s="68">
        <f t="shared" si="36"/>
        <v>0</v>
      </c>
      <c r="CI18" s="68">
        <f t="shared" si="37"/>
        <v>0</v>
      </c>
      <c r="CJ18" s="69">
        <f t="shared" si="38"/>
        <v>0</v>
      </c>
      <c r="CM18" s="67" t="str">
        <f t="shared" si="44"/>
        <v/>
      </c>
      <c r="CN18" s="68" t="str">
        <f t="shared" si="39"/>
        <v/>
      </c>
      <c r="CO18" s="68" t="str">
        <f t="shared" si="39"/>
        <v/>
      </c>
      <c r="CP18" s="68" t="str">
        <f t="shared" si="39"/>
        <v/>
      </c>
      <c r="CQ18" s="68">
        <f t="shared" si="39"/>
        <v>36</v>
      </c>
      <c r="CR18" s="68" t="str">
        <f t="shared" si="39"/>
        <v/>
      </c>
      <c r="CS18" s="69" t="str">
        <f t="shared" si="39"/>
        <v/>
      </c>
      <c r="CU18" s="511">
        <f>SUM(SUMIF($AZ$8:$BF$8, {"NON";"NEUT"}, AZ18:BF18))/config!$AC$16</f>
        <v>0</v>
      </c>
      <c r="CV18" s="512">
        <f t="shared" si="45"/>
        <v>7.2916666666666657E-2</v>
      </c>
      <c r="CY18" s="67">
        <f>SUM(C22*$CY$108, C129*$CY$109, C236*$CY$110, C343*$CY$111, C450*$CY$112, C557*$CY$113, C664*$CY$114)/config!$AC$16</f>
        <v>0</v>
      </c>
      <c r="CZ18" s="68">
        <f>SUM(SUM(D22:E22)*$CY$108, SUM(D129:E129)*$CY$109, SUM(D236:E236)*$CY$110, SUM(D343:E343)*$CY$111, SUM(D450:E450)*$CY$112, SUM(D557:E557)*$CY$113, SUM(D664:E664)*$CY$114)/config!$AC$16</f>
        <v>0</v>
      </c>
      <c r="DA18" s="68">
        <f>SUM(SUM(F22:G22)*$CY$108, SUM(F129:G129)*$CY$109, SUM(F236:G236)*$CY$110, SUM(F343:G343)*$CY$111, SUM(F450:G450)*$CY$112, SUM(F557:G557)*$CY$113, SUM(F664:G664)*$CY$114)/config!$AC$16</f>
        <v>0</v>
      </c>
      <c r="DB18" s="68">
        <f>SUM(H22*$CY$108, H129*$CY$109, H236*$CY$110, H343*$CY$111, H450*$CY$112, H557*$CY$113, H664*$CY$114)/config!$AC$16</f>
        <v>0</v>
      </c>
      <c r="DC18" s="69">
        <f>SUM(SUM(I22:L22)*$CY$108, SUM(I129:L129)*$CY$109, SUM(I236:L236)*$CY$110, SUM(I343:L343)*$CY$111, SUM(I450:L450)*$CY$112, SUM(I557:L557)*$CY$113, SUM(I664:L664)*$CY$114)/config!$AC$16</f>
        <v>0</v>
      </c>
    </row>
    <row r="19" spans="1:107" ht="15" x14ac:dyDescent="0.25">
      <c r="A19" s="440" t="s">
        <v>39</v>
      </c>
      <c r="B19" s="642">
        <v>0</v>
      </c>
      <c r="C19" s="184">
        <v>0</v>
      </c>
      <c r="D19" s="184">
        <v>0</v>
      </c>
      <c r="E19" s="184">
        <v>0</v>
      </c>
      <c r="F19" s="184">
        <v>0</v>
      </c>
      <c r="G19" s="184">
        <v>0</v>
      </c>
      <c r="H19" s="184">
        <v>0</v>
      </c>
      <c r="I19" s="184">
        <v>0</v>
      </c>
      <c r="J19" s="184">
        <v>0</v>
      </c>
      <c r="K19" s="184">
        <v>0</v>
      </c>
      <c r="L19" s="184">
        <v>0</v>
      </c>
      <c r="M19" s="654" t="s">
        <v>24</v>
      </c>
      <c r="N19" s="670" t="s">
        <v>39</v>
      </c>
      <c r="O19" s="642">
        <v>0</v>
      </c>
      <c r="P19" s="184">
        <v>0</v>
      </c>
      <c r="Q19" s="184">
        <v>0</v>
      </c>
      <c r="R19" s="184">
        <v>0</v>
      </c>
      <c r="S19" s="184">
        <v>0</v>
      </c>
      <c r="T19" s="184">
        <v>0</v>
      </c>
      <c r="U19" s="184">
        <v>0</v>
      </c>
      <c r="V19" s="184">
        <v>0</v>
      </c>
      <c r="W19" s="184">
        <v>0</v>
      </c>
      <c r="X19" s="184">
        <v>0</v>
      </c>
      <c r="Y19" s="184">
        <v>0</v>
      </c>
      <c r="Z19" s="184">
        <v>0</v>
      </c>
      <c r="AA19" s="184">
        <v>0</v>
      </c>
      <c r="AB19" s="184">
        <v>0</v>
      </c>
      <c r="AC19" s="185" t="s">
        <v>24</v>
      </c>
      <c r="AD19" s="185" t="s">
        <v>24</v>
      </c>
      <c r="AE19" s="184">
        <v>0</v>
      </c>
      <c r="AF19" s="185">
        <v>0</v>
      </c>
      <c r="AG19" s="184">
        <v>0</v>
      </c>
      <c r="AH19" s="185">
        <v>0</v>
      </c>
      <c r="AI19" s="184">
        <v>0</v>
      </c>
      <c r="AJ19" s="643">
        <v>0</v>
      </c>
      <c r="AP19" s="401">
        <f t="shared" si="40"/>
        <v>0</v>
      </c>
      <c r="AR19" s="56">
        <f t="shared" si="41"/>
        <v>8.3333333333333329E-2</v>
      </c>
      <c r="AS19" s="67">
        <f>SUM(C23,C130,C237,C344,C451,C558,C665)/config!$AC$13</f>
        <v>0</v>
      </c>
      <c r="AT19" s="68">
        <f>SUM(D23:E23,D130:E130,D237:E237,D344:E344,D451:E451,D558:E558,D665:E665)/config!$AC$13</f>
        <v>0.42857142857142855</v>
      </c>
      <c r="AU19" s="68">
        <f>SUM(F23:G23,F130:G130,F237:G237,F344:G344,F451:G451,F558:G558,F665:G665)/config!$AC$13</f>
        <v>0</v>
      </c>
      <c r="AV19" s="68">
        <f>SUM(H23,H130,H237,H344,H451,H558,H665)/config!$AC$13</f>
        <v>0</v>
      </c>
      <c r="AW19" s="69">
        <f>SUM(I23:L23,I130:L130,I237:L237,I344:L344,I451:L451,I558:L558,I665:L665)/config!$AC$13</f>
        <v>0</v>
      </c>
      <c r="AY19" s="56">
        <f t="shared" si="42"/>
        <v>8.3333333333333329E-2</v>
      </c>
      <c r="AZ19" s="70">
        <f t="shared" si="8"/>
        <v>0</v>
      </c>
      <c r="BA19" s="71">
        <f t="shared" si="9"/>
        <v>0</v>
      </c>
      <c r="BB19" s="71">
        <f t="shared" si="10"/>
        <v>0</v>
      </c>
      <c r="BC19" s="71">
        <f t="shared" si="11"/>
        <v>0</v>
      </c>
      <c r="BD19" s="71">
        <f t="shared" si="12"/>
        <v>2</v>
      </c>
      <c r="BE19" s="71">
        <f t="shared" si="13"/>
        <v>1</v>
      </c>
      <c r="BF19" s="72">
        <f t="shared" si="14"/>
        <v>0</v>
      </c>
      <c r="BG19" s="45"/>
      <c r="BH19" s="56">
        <f t="shared" si="15"/>
        <v>8.3333333333333329E-2</v>
      </c>
      <c r="BI19" s="67" t="str">
        <f t="shared" si="16"/>
        <v/>
      </c>
      <c r="BJ19" s="68" t="str">
        <f t="shared" si="17"/>
        <v/>
      </c>
      <c r="BK19" s="68" t="str">
        <f t="shared" si="18"/>
        <v/>
      </c>
      <c r="BL19" s="68" t="str">
        <f t="shared" si="19"/>
        <v/>
      </c>
      <c r="BM19" s="68">
        <f t="shared" si="20"/>
        <v>48.2</v>
      </c>
      <c r="BN19" s="68">
        <f t="shared" si="21"/>
        <v>8.9</v>
      </c>
      <c r="BO19" s="69" t="str">
        <f t="shared" si="22"/>
        <v/>
      </c>
      <c r="BP19" s="63"/>
      <c r="BQ19" s="64">
        <f t="shared" si="23"/>
        <v>8.3333333333333329E-2</v>
      </c>
      <c r="BR19" s="67" t="str">
        <f t="shared" si="24"/>
        <v/>
      </c>
      <c r="BS19" s="68" t="str">
        <f t="shared" si="25"/>
        <v/>
      </c>
      <c r="BT19" s="68" t="str">
        <f t="shared" si="26"/>
        <v/>
      </c>
      <c r="BU19" s="68" t="str">
        <f t="shared" si="27"/>
        <v/>
      </c>
      <c r="BV19" s="68" t="str">
        <f t="shared" si="28"/>
        <v/>
      </c>
      <c r="BW19" s="68" t="str">
        <f t="shared" si="29"/>
        <v/>
      </c>
      <c r="BX19" s="69" t="str">
        <f t="shared" si="30"/>
        <v/>
      </c>
      <c r="BY19" s="65"/>
      <c r="BZ19" s="66">
        <f t="shared" si="43"/>
        <v>28.55</v>
      </c>
      <c r="CA19" s="414" t="e">
        <f t="shared" si="31"/>
        <v>#N/A</v>
      </c>
      <c r="CB19" s="416">
        <f t="shared" si="48"/>
        <v>60</v>
      </c>
      <c r="CC19" s="65"/>
      <c r="CD19" s="67">
        <f t="shared" si="32"/>
        <v>0</v>
      </c>
      <c r="CE19" s="68">
        <f t="shared" si="33"/>
        <v>0</v>
      </c>
      <c r="CF19" s="68">
        <f t="shared" si="34"/>
        <v>0</v>
      </c>
      <c r="CG19" s="68">
        <f t="shared" si="35"/>
        <v>0</v>
      </c>
      <c r="CH19" s="68">
        <f t="shared" si="36"/>
        <v>0</v>
      </c>
      <c r="CI19" s="68">
        <f t="shared" si="37"/>
        <v>0</v>
      </c>
      <c r="CJ19" s="69">
        <f t="shared" si="38"/>
        <v>0</v>
      </c>
      <c r="CM19" s="67" t="str">
        <f t="shared" si="44"/>
        <v/>
      </c>
      <c r="CN19" s="68" t="str">
        <f t="shared" si="39"/>
        <v/>
      </c>
      <c r="CO19" s="68" t="str">
        <f t="shared" si="39"/>
        <v/>
      </c>
      <c r="CP19" s="68" t="str">
        <f t="shared" si="39"/>
        <v/>
      </c>
      <c r="CQ19" s="68">
        <f t="shared" si="39"/>
        <v>96.4</v>
      </c>
      <c r="CR19" s="68">
        <f t="shared" si="39"/>
        <v>8.9</v>
      </c>
      <c r="CS19" s="69" t="str">
        <f t="shared" si="39"/>
        <v/>
      </c>
      <c r="CU19" s="511">
        <f>SUM(SUMIF($AZ$8:$BF$8, {"NON";"NEUT"}, AZ19:BF19))/config!$AC$16</f>
        <v>0</v>
      </c>
      <c r="CV19" s="512">
        <f t="shared" si="45"/>
        <v>8.3333333333333329E-2</v>
      </c>
      <c r="CY19" s="67">
        <f>SUM(C23*$CY$108, C130*$CY$109, C237*$CY$110, C344*$CY$111, C451*$CY$112, C558*$CY$113, C665*$CY$114)/config!$AC$16</f>
        <v>0</v>
      </c>
      <c r="CZ19" s="68">
        <f>SUM(SUM(D23:E23)*$CY$108, SUM(D130:E130)*$CY$109, SUM(D237:E237)*$CY$110, SUM(D344:E344)*$CY$111, SUM(D451:E451)*$CY$112, SUM(D558:E558)*$CY$113, SUM(D665:E665)*$CY$114)/config!$AC$16</f>
        <v>0</v>
      </c>
      <c r="DA19" s="68">
        <f>SUM(SUM(F23:G23)*$CY$108, SUM(F130:G130)*$CY$109, SUM(F237:G237)*$CY$110, SUM(F344:G344)*$CY$111, SUM(F451:G451)*$CY$112, SUM(F558:G558)*$CY$113, SUM(F665:G665)*$CY$114)/config!$AC$16</f>
        <v>0</v>
      </c>
      <c r="DB19" s="68">
        <f>SUM(H23*$CY$108, H130*$CY$109, H237*$CY$110, H344*$CY$111, H451*$CY$112, H558*$CY$113, H665*$CY$114)/config!$AC$16</f>
        <v>0</v>
      </c>
      <c r="DC19" s="69">
        <f>SUM(SUM(I23:L23)*$CY$108, SUM(I130:L130)*$CY$109, SUM(I237:L237)*$CY$110, SUM(I344:L344)*$CY$111, SUM(I451:L451)*$CY$112, SUM(I558:L558)*$CY$113, SUM(I665:L665)*$CY$114)/config!$AC$16</f>
        <v>0</v>
      </c>
    </row>
    <row r="20" spans="1:107" ht="15" x14ac:dyDescent="0.25">
      <c r="A20" s="440" t="s">
        <v>45</v>
      </c>
      <c r="B20" s="642">
        <v>0</v>
      </c>
      <c r="C20" s="184">
        <v>0</v>
      </c>
      <c r="D20" s="184">
        <v>0</v>
      </c>
      <c r="E20" s="184">
        <v>0</v>
      </c>
      <c r="F20" s="184">
        <v>0</v>
      </c>
      <c r="G20" s="184">
        <v>0</v>
      </c>
      <c r="H20" s="184">
        <v>0</v>
      </c>
      <c r="I20" s="184">
        <v>0</v>
      </c>
      <c r="J20" s="184">
        <v>0</v>
      </c>
      <c r="K20" s="184">
        <v>0</v>
      </c>
      <c r="L20" s="184">
        <v>0</v>
      </c>
      <c r="M20" s="654" t="s">
        <v>24</v>
      </c>
      <c r="N20" s="670" t="s">
        <v>45</v>
      </c>
      <c r="O20" s="642">
        <v>0</v>
      </c>
      <c r="P20" s="184">
        <v>0</v>
      </c>
      <c r="Q20" s="184">
        <v>0</v>
      </c>
      <c r="R20" s="184">
        <v>0</v>
      </c>
      <c r="S20" s="184">
        <v>0</v>
      </c>
      <c r="T20" s="184">
        <v>0</v>
      </c>
      <c r="U20" s="184">
        <v>0</v>
      </c>
      <c r="V20" s="184">
        <v>0</v>
      </c>
      <c r="W20" s="184">
        <v>0</v>
      </c>
      <c r="X20" s="184">
        <v>0</v>
      </c>
      <c r="Y20" s="184">
        <v>0</v>
      </c>
      <c r="Z20" s="184">
        <v>0</v>
      </c>
      <c r="AA20" s="184">
        <v>0</v>
      </c>
      <c r="AB20" s="184">
        <v>0</v>
      </c>
      <c r="AC20" s="185" t="s">
        <v>24</v>
      </c>
      <c r="AD20" s="185" t="s">
        <v>24</v>
      </c>
      <c r="AE20" s="184">
        <v>0</v>
      </c>
      <c r="AF20" s="185">
        <v>0</v>
      </c>
      <c r="AG20" s="184">
        <v>0</v>
      </c>
      <c r="AH20" s="185">
        <v>0</v>
      </c>
      <c r="AI20" s="184">
        <v>0</v>
      </c>
      <c r="AJ20" s="643">
        <v>0</v>
      </c>
      <c r="AP20" s="401">
        <f t="shared" si="40"/>
        <v>0</v>
      </c>
      <c r="AR20" s="56">
        <f t="shared" si="41"/>
        <v>9.375E-2</v>
      </c>
      <c r="AS20" s="67">
        <f>SUM(C24,C131,C238,C345,C452,C559,C666)/config!$AC$13</f>
        <v>0</v>
      </c>
      <c r="AT20" s="68">
        <f>SUM(D24:E24,D131:E131,D238:E238,D345:E345,D452:E452,D559:E559,D666:E666)/config!$AC$13</f>
        <v>0.5714285714285714</v>
      </c>
      <c r="AU20" s="68">
        <f>SUM(F24:G24,F131:G131,F238:G238,F345:G345,F452:G452,F559:G559,F666:G666)/config!$AC$13</f>
        <v>0</v>
      </c>
      <c r="AV20" s="68">
        <f>SUM(H24,H131,H238,H345,H452,H559,H666)/config!$AC$13</f>
        <v>0</v>
      </c>
      <c r="AW20" s="69">
        <f>SUM(I24:L24,I131:L131,I238:L238,I345:L345,I452:L452,I559:L559,I666:L666)/config!$AC$13</f>
        <v>0</v>
      </c>
      <c r="AY20" s="56">
        <f t="shared" si="42"/>
        <v>9.375E-2</v>
      </c>
      <c r="AZ20" s="70">
        <f t="shared" si="8"/>
        <v>0</v>
      </c>
      <c r="BA20" s="71">
        <f t="shared" si="9"/>
        <v>0</v>
      </c>
      <c r="BB20" s="71">
        <f t="shared" si="10"/>
        <v>2</v>
      </c>
      <c r="BC20" s="71">
        <f t="shared" si="11"/>
        <v>0</v>
      </c>
      <c r="BD20" s="71">
        <f t="shared" si="12"/>
        <v>0</v>
      </c>
      <c r="BE20" s="71">
        <f t="shared" si="13"/>
        <v>2</v>
      </c>
      <c r="BF20" s="72">
        <f t="shared" si="14"/>
        <v>0</v>
      </c>
      <c r="BG20" s="45"/>
      <c r="BH20" s="56">
        <f t="shared" si="15"/>
        <v>9.375E-2</v>
      </c>
      <c r="BI20" s="67" t="str">
        <f t="shared" si="16"/>
        <v/>
      </c>
      <c r="BJ20" s="68" t="str">
        <f t="shared" si="17"/>
        <v/>
      </c>
      <c r="BK20" s="68">
        <f t="shared" si="18"/>
        <v>37.4</v>
      </c>
      <c r="BL20" s="68" t="str">
        <f t="shared" si="19"/>
        <v/>
      </c>
      <c r="BM20" s="68" t="str">
        <f t="shared" si="20"/>
        <v/>
      </c>
      <c r="BN20" s="68">
        <f t="shared" si="21"/>
        <v>28.6</v>
      </c>
      <c r="BO20" s="69" t="str">
        <f t="shared" si="22"/>
        <v/>
      </c>
      <c r="BP20" s="63"/>
      <c r="BQ20" s="64">
        <f t="shared" si="23"/>
        <v>9.375E-2</v>
      </c>
      <c r="BR20" s="67" t="str">
        <f t="shared" si="24"/>
        <v/>
      </c>
      <c r="BS20" s="68" t="str">
        <f t="shared" si="25"/>
        <v/>
      </c>
      <c r="BT20" s="68" t="str">
        <f t="shared" si="26"/>
        <v/>
      </c>
      <c r="BU20" s="68" t="str">
        <f t="shared" si="27"/>
        <v/>
      </c>
      <c r="BV20" s="68" t="str">
        <f t="shared" si="28"/>
        <v/>
      </c>
      <c r="BW20" s="68" t="str">
        <f t="shared" si="29"/>
        <v/>
      </c>
      <c r="BX20" s="69" t="str">
        <f t="shared" si="30"/>
        <v/>
      </c>
      <c r="BY20" s="65"/>
      <c r="BZ20" s="66">
        <f t="shared" si="43"/>
        <v>33</v>
      </c>
      <c r="CA20" s="414" t="e">
        <f t="shared" si="31"/>
        <v>#N/A</v>
      </c>
      <c r="CB20" s="416">
        <f t="shared" si="48"/>
        <v>60</v>
      </c>
      <c r="CC20" s="65"/>
      <c r="CD20" s="67">
        <f t="shared" si="32"/>
        <v>0</v>
      </c>
      <c r="CE20" s="68">
        <f t="shared" si="33"/>
        <v>0</v>
      </c>
      <c r="CF20" s="68">
        <f t="shared" si="34"/>
        <v>0</v>
      </c>
      <c r="CG20" s="68">
        <f t="shared" si="35"/>
        <v>0</v>
      </c>
      <c r="CH20" s="68">
        <f t="shared" si="36"/>
        <v>0</v>
      </c>
      <c r="CI20" s="68">
        <f t="shared" si="37"/>
        <v>0</v>
      </c>
      <c r="CJ20" s="69">
        <f t="shared" si="38"/>
        <v>0</v>
      </c>
      <c r="CM20" s="67" t="str">
        <f t="shared" si="44"/>
        <v/>
      </c>
      <c r="CN20" s="68" t="str">
        <f t="shared" si="39"/>
        <v/>
      </c>
      <c r="CO20" s="68">
        <f t="shared" si="39"/>
        <v>74.8</v>
      </c>
      <c r="CP20" s="68" t="str">
        <f t="shared" si="39"/>
        <v/>
      </c>
      <c r="CQ20" s="68" t="str">
        <f t="shared" si="39"/>
        <v/>
      </c>
      <c r="CR20" s="68">
        <f t="shared" si="39"/>
        <v>57.2</v>
      </c>
      <c r="CS20" s="69" t="str">
        <f t="shared" si="39"/>
        <v/>
      </c>
      <c r="CU20" s="511">
        <f>SUM(SUMIF($AZ$8:$BF$8, {"NON";"NEUT"}, AZ20:BF20))/config!$AC$16</f>
        <v>0.4</v>
      </c>
      <c r="CV20" s="512">
        <f t="shared" si="45"/>
        <v>9.375E-2</v>
      </c>
      <c r="CY20" s="67">
        <f>SUM(C24*$CY$108, C131*$CY$109, C238*$CY$110, C345*$CY$111, C452*$CY$112, C559*$CY$113, C666*$CY$114)/config!$AC$16</f>
        <v>0</v>
      </c>
      <c r="CZ20" s="68">
        <f>SUM(SUM(D24:E24)*$CY$108, SUM(D131:E131)*$CY$109, SUM(D238:E238)*$CY$110, SUM(D345:E345)*$CY$111, SUM(D452:E452)*$CY$112, SUM(D559:E559)*$CY$113, SUM(D666:E666)*$CY$114)/config!$AC$16</f>
        <v>0.4</v>
      </c>
      <c r="DA20" s="68">
        <f>SUM(SUM(F24:G24)*$CY$108, SUM(F131:G131)*$CY$109, SUM(F238:G238)*$CY$110, SUM(F345:G345)*$CY$111, SUM(F452:G452)*$CY$112, SUM(F559:G559)*$CY$113, SUM(F666:G666)*$CY$114)/config!$AC$16</f>
        <v>0</v>
      </c>
      <c r="DB20" s="68">
        <f>SUM(H24*$CY$108, H131*$CY$109, H238*$CY$110, H345*$CY$111, H452*$CY$112, H559*$CY$113, H666*$CY$114)/config!$AC$16</f>
        <v>0</v>
      </c>
      <c r="DC20" s="69">
        <f>SUM(SUM(I24:L24)*$CY$108, SUM(I131:L131)*$CY$109, SUM(I238:L238)*$CY$110, SUM(I345:L345)*$CY$111, SUM(I452:L452)*$CY$112, SUM(I559:L559)*$CY$113, SUM(I666:L666)*$CY$114)/config!$AC$16</f>
        <v>0</v>
      </c>
    </row>
    <row r="21" spans="1:107" ht="15" x14ac:dyDescent="0.25">
      <c r="A21" s="440" t="s">
        <v>47</v>
      </c>
      <c r="B21" s="642">
        <v>0</v>
      </c>
      <c r="C21" s="184">
        <v>0</v>
      </c>
      <c r="D21" s="184">
        <v>0</v>
      </c>
      <c r="E21" s="184">
        <v>0</v>
      </c>
      <c r="F21" s="184">
        <v>0</v>
      </c>
      <c r="G21" s="184">
        <v>0</v>
      </c>
      <c r="H21" s="184">
        <v>0</v>
      </c>
      <c r="I21" s="184">
        <v>0</v>
      </c>
      <c r="J21" s="184">
        <v>0</v>
      </c>
      <c r="K21" s="184">
        <v>0</v>
      </c>
      <c r="L21" s="184">
        <v>0</v>
      </c>
      <c r="M21" s="654" t="s">
        <v>24</v>
      </c>
      <c r="N21" s="670" t="s">
        <v>47</v>
      </c>
      <c r="O21" s="642">
        <v>0</v>
      </c>
      <c r="P21" s="184">
        <v>0</v>
      </c>
      <c r="Q21" s="184">
        <v>0</v>
      </c>
      <c r="R21" s="184">
        <v>0</v>
      </c>
      <c r="S21" s="184">
        <v>0</v>
      </c>
      <c r="T21" s="184">
        <v>0</v>
      </c>
      <c r="U21" s="184">
        <v>0</v>
      </c>
      <c r="V21" s="184">
        <v>0</v>
      </c>
      <c r="W21" s="184">
        <v>0</v>
      </c>
      <c r="X21" s="184">
        <v>0</v>
      </c>
      <c r="Y21" s="184">
        <v>0</v>
      </c>
      <c r="Z21" s="184">
        <v>0</v>
      </c>
      <c r="AA21" s="184">
        <v>0</v>
      </c>
      <c r="AB21" s="184">
        <v>0</v>
      </c>
      <c r="AC21" s="185" t="s">
        <v>24</v>
      </c>
      <c r="AD21" s="185" t="s">
        <v>24</v>
      </c>
      <c r="AE21" s="184">
        <v>0</v>
      </c>
      <c r="AF21" s="185">
        <v>0</v>
      </c>
      <c r="AG21" s="184">
        <v>0</v>
      </c>
      <c r="AH21" s="185">
        <v>0</v>
      </c>
      <c r="AI21" s="184">
        <v>0</v>
      </c>
      <c r="AJ21" s="643">
        <v>0</v>
      </c>
      <c r="AP21" s="401">
        <f t="shared" si="40"/>
        <v>0</v>
      </c>
      <c r="AR21" s="56">
        <f t="shared" si="41"/>
        <v>0.10416666666666667</v>
      </c>
      <c r="AS21" s="67">
        <f>SUM(C25,C132,C239,C346,C453,C560,C667)/config!$AC$13</f>
        <v>0</v>
      </c>
      <c r="AT21" s="68">
        <f>SUM(D25:E25,D132:E132,D239:E239,D346:E346,D453:E453,D560:E560,D667:E667)/config!$AC$13</f>
        <v>0</v>
      </c>
      <c r="AU21" s="68">
        <f>SUM(F25:G25,F132:G132,F239:G239,F346:G346,F453:G453,F560:G560,F667:G667)/config!$AC$13</f>
        <v>0</v>
      </c>
      <c r="AV21" s="68">
        <f>SUM(H25,H132,H239,H346,H453,H560,H667)/config!$AC$13</f>
        <v>0</v>
      </c>
      <c r="AW21" s="69">
        <f>SUM(I25:L25,I132:L132,I239:L239,I346:L346,I453:L453,I560:L560,I667:L667)/config!$AC$13</f>
        <v>0</v>
      </c>
      <c r="AY21" s="56">
        <f t="shared" si="42"/>
        <v>0.10416666666666667</v>
      </c>
      <c r="AZ21" s="70">
        <f t="shared" si="8"/>
        <v>0</v>
      </c>
      <c r="BA21" s="71">
        <f t="shared" si="9"/>
        <v>0</v>
      </c>
      <c r="BB21" s="71">
        <f t="shared" si="10"/>
        <v>0</v>
      </c>
      <c r="BC21" s="71">
        <f t="shared" si="11"/>
        <v>0</v>
      </c>
      <c r="BD21" s="71">
        <f t="shared" si="12"/>
        <v>0</v>
      </c>
      <c r="BE21" s="71">
        <f t="shared" si="13"/>
        <v>0</v>
      </c>
      <c r="BF21" s="72">
        <f t="shared" si="14"/>
        <v>0</v>
      </c>
      <c r="BG21" s="45"/>
      <c r="BH21" s="56">
        <f t="shared" si="15"/>
        <v>0.10416666666666667</v>
      </c>
      <c r="BI21" s="67" t="str">
        <f t="shared" si="16"/>
        <v/>
      </c>
      <c r="BJ21" s="68" t="str">
        <f t="shared" si="17"/>
        <v/>
      </c>
      <c r="BK21" s="68" t="str">
        <f t="shared" si="18"/>
        <v/>
      </c>
      <c r="BL21" s="68" t="str">
        <f t="shared" si="19"/>
        <v/>
      </c>
      <c r="BM21" s="68" t="str">
        <f t="shared" si="20"/>
        <v/>
      </c>
      <c r="BN21" s="68" t="str">
        <f t="shared" si="21"/>
        <v/>
      </c>
      <c r="BO21" s="69" t="str">
        <f t="shared" si="22"/>
        <v/>
      </c>
      <c r="BP21" s="63"/>
      <c r="BQ21" s="64">
        <f t="shared" si="23"/>
        <v>0.10416666666666667</v>
      </c>
      <c r="BR21" s="67" t="str">
        <f t="shared" si="24"/>
        <v/>
      </c>
      <c r="BS21" s="68" t="str">
        <f t="shared" si="25"/>
        <v/>
      </c>
      <c r="BT21" s="68" t="str">
        <f t="shared" si="26"/>
        <v/>
      </c>
      <c r="BU21" s="68" t="str">
        <f t="shared" si="27"/>
        <v/>
      </c>
      <c r="BV21" s="68" t="str">
        <f t="shared" si="28"/>
        <v/>
      </c>
      <c r="BW21" s="68" t="str">
        <f t="shared" si="29"/>
        <v/>
      </c>
      <c r="BX21" s="69" t="str">
        <f t="shared" si="30"/>
        <v/>
      </c>
      <c r="BY21" s="65"/>
      <c r="BZ21" s="66" t="e">
        <f t="shared" si="43"/>
        <v>#N/A</v>
      </c>
      <c r="CA21" s="414" t="e">
        <f t="shared" si="31"/>
        <v>#N/A</v>
      </c>
      <c r="CB21" s="416">
        <f t="shared" si="48"/>
        <v>60</v>
      </c>
      <c r="CC21" s="65"/>
      <c r="CD21" s="67">
        <f t="shared" si="32"/>
        <v>0</v>
      </c>
      <c r="CE21" s="68">
        <f t="shared" si="33"/>
        <v>0</v>
      </c>
      <c r="CF21" s="68">
        <f t="shared" si="34"/>
        <v>0</v>
      </c>
      <c r="CG21" s="68">
        <f t="shared" si="35"/>
        <v>0</v>
      </c>
      <c r="CH21" s="68">
        <f t="shared" si="36"/>
        <v>0</v>
      </c>
      <c r="CI21" s="68">
        <f t="shared" si="37"/>
        <v>0</v>
      </c>
      <c r="CJ21" s="69">
        <f t="shared" si="38"/>
        <v>0</v>
      </c>
      <c r="CM21" s="67" t="str">
        <f t="shared" si="44"/>
        <v/>
      </c>
      <c r="CN21" s="68" t="str">
        <f t="shared" si="39"/>
        <v/>
      </c>
      <c r="CO21" s="68" t="str">
        <f t="shared" si="39"/>
        <v/>
      </c>
      <c r="CP21" s="68" t="str">
        <f t="shared" si="39"/>
        <v/>
      </c>
      <c r="CQ21" s="68" t="str">
        <f t="shared" si="39"/>
        <v/>
      </c>
      <c r="CR21" s="68" t="str">
        <f t="shared" si="39"/>
        <v/>
      </c>
      <c r="CS21" s="69" t="str">
        <f t="shared" si="39"/>
        <v/>
      </c>
      <c r="CU21" s="511">
        <f>SUM(SUMIF($AZ$8:$BF$8, {"NON";"NEUT"}, AZ21:BF21))/config!$AC$16</f>
        <v>0</v>
      </c>
      <c r="CV21" s="512">
        <f t="shared" si="45"/>
        <v>0.10416666666666667</v>
      </c>
      <c r="CY21" s="67">
        <f>SUM(C25*$CY$108, C132*$CY$109, C239*$CY$110, C346*$CY$111, C453*$CY$112, C560*$CY$113, C667*$CY$114)/config!$AC$16</f>
        <v>0</v>
      </c>
      <c r="CZ21" s="68">
        <f>SUM(SUM(D25:E25)*$CY$108, SUM(D132:E132)*$CY$109, SUM(D239:E239)*$CY$110, SUM(D346:E346)*$CY$111, SUM(D453:E453)*$CY$112, SUM(D560:E560)*$CY$113, SUM(D667:E667)*$CY$114)/config!$AC$16</f>
        <v>0</v>
      </c>
      <c r="DA21" s="68">
        <f>SUM(SUM(F25:G25)*$CY$108, SUM(F132:G132)*$CY$109, SUM(F239:G239)*$CY$110, SUM(F346:G346)*$CY$111, SUM(F453:G453)*$CY$112, SUM(F560:G560)*$CY$113, SUM(F667:G667)*$CY$114)/config!$AC$16</f>
        <v>0</v>
      </c>
      <c r="DB21" s="68">
        <f>SUM(H25*$CY$108, H132*$CY$109, H239*$CY$110, H346*$CY$111, H453*$CY$112, H560*$CY$113, H667*$CY$114)/config!$AC$16</f>
        <v>0</v>
      </c>
      <c r="DC21" s="69">
        <f>SUM(SUM(I25:L25)*$CY$108, SUM(I132:L132)*$CY$109, SUM(I239:L239)*$CY$110, SUM(I346:L346)*$CY$111, SUM(I453:L453)*$CY$112, SUM(I560:L560)*$CY$113, SUM(I667:L667)*$CY$114)/config!$AC$16</f>
        <v>0</v>
      </c>
    </row>
    <row r="22" spans="1:107" ht="15" x14ac:dyDescent="0.25">
      <c r="A22" s="440" t="s">
        <v>49</v>
      </c>
      <c r="B22" s="642">
        <v>0</v>
      </c>
      <c r="C22" s="184">
        <v>0</v>
      </c>
      <c r="D22" s="184">
        <v>0</v>
      </c>
      <c r="E22" s="184">
        <v>0</v>
      </c>
      <c r="F22" s="184">
        <v>0</v>
      </c>
      <c r="G22" s="184">
        <v>0</v>
      </c>
      <c r="H22" s="184">
        <v>0</v>
      </c>
      <c r="I22" s="184">
        <v>0</v>
      </c>
      <c r="J22" s="184">
        <v>0</v>
      </c>
      <c r="K22" s="184">
        <v>0</v>
      </c>
      <c r="L22" s="184">
        <v>0</v>
      </c>
      <c r="M22" s="654" t="s">
        <v>24</v>
      </c>
      <c r="N22" s="670" t="s">
        <v>49</v>
      </c>
      <c r="O22" s="642">
        <v>0</v>
      </c>
      <c r="P22" s="184">
        <v>0</v>
      </c>
      <c r="Q22" s="184">
        <v>0</v>
      </c>
      <c r="R22" s="184">
        <v>0</v>
      </c>
      <c r="S22" s="184">
        <v>0</v>
      </c>
      <c r="T22" s="184">
        <v>0</v>
      </c>
      <c r="U22" s="184">
        <v>0</v>
      </c>
      <c r="V22" s="184">
        <v>0</v>
      </c>
      <c r="W22" s="184">
        <v>0</v>
      </c>
      <c r="X22" s="184">
        <v>0</v>
      </c>
      <c r="Y22" s="184">
        <v>0</v>
      </c>
      <c r="Z22" s="184">
        <v>0</v>
      </c>
      <c r="AA22" s="184">
        <v>0</v>
      </c>
      <c r="AB22" s="184">
        <v>0</v>
      </c>
      <c r="AC22" s="185" t="s">
        <v>24</v>
      </c>
      <c r="AD22" s="185" t="s">
        <v>24</v>
      </c>
      <c r="AE22" s="184">
        <v>0</v>
      </c>
      <c r="AF22" s="185">
        <v>0</v>
      </c>
      <c r="AG22" s="184">
        <v>0</v>
      </c>
      <c r="AH22" s="185">
        <v>0</v>
      </c>
      <c r="AI22" s="184">
        <v>0</v>
      </c>
      <c r="AJ22" s="643">
        <v>0</v>
      </c>
      <c r="AP22" s="401">
        <f t="shared" si="40"/>
        <v>0</v>
      </c>
      <c r="AR22" s="56">
        <f t="shared" si="41"/>
        <v>0.11458333333333334</v>
      </c>
      <c r="AS22" s="67">
        <f>SUM(C26,C133,C240,C347,C454,C561,C668)/config!$AC$13</f>
        <v>0</v>
      </c>
      <c r="AT22" s="68">
        <f>SUM(D26:E26,D133:E133,D240:E240,D347:E347,D454:E454,D561:E561,D668:E668)/config!$AC$13</f>
        <v>0</v>
      </c>
      <c r="AU22" s="68">
        <f>SUM(F26:G26,F133:G133,F240:G240,F347:G347,F454:G454,F561:G561,F668:G668)/config!$AC$13</f>
        <v>0</v>
      </c>
      <c r="AV22" s="68">
        <f>SUM(H26,H133,H240,H347,H454,H561,H668)/config!$AC$13</f>
        <v>0</v>
      </c>
      <c r="AW22" s="69">
        <f>SUM(I26:L26,I133:L133,I240:L240,I347:L347,I454:L454,I561:L561,I668:L668)/config!$AC$13</f>
        <v>0</v>
      </c>
      <c r="AY22" s="56">
        <f t="shared" si="42"/>
        <v>0.11458333333333334</v>
      </c>
      <c r="AZ22" s="70">
        <f t="shared" si="8"/>
        <v>0</v>
      </c>
      <c r="BA22" s="71">
        <f t="shared" si="9"/>
        <v>0</v>
      </c>
      <c r="BB22" s="71">
        <f t="shared" si="10"/>
        <v>0</v>
      </c>
      <c r="BC22" s="71">
        <f t="shared" si="11"/>
        <v>0</v>
      </c>
      <c r="BD22" s="71">
        <f t="shared" si="12"/>
        <v>0</v>
      </c>
      <c r="BE22" s="71">
        <f t="shared" si="13"/>
        <v>0</v>
      </c>
      <c r="BF22" s="72">
        <f t="shared" si="14"/>
        <v>0</v>
      </c>
      <c r="BG22" s="45"/>
      <c r="BH22" s="56">
        <f t="shared" si="15"/>
        <v>0.11458333333333334</v>
      </c>
      <c r="BI22" s="67" t="str">
        <f t="shared" si="16"/>
        <v/>
      </c>
      <c r="BJ22" s="68" t="str">
        <f t="shared" si="17"/>
        <v/>
      </c>
      <c r="BK22" s="68" t="str">
        <f t="shared" si="18"/>
        <v/>
      </c>
      <c r="BL22" s="68" t="str">
        <f t="shared" si="19"/>
        <v/>
      </c>
      <c r="BM22" s="68" t="str">
        <f t="shared" si="20"/>
        <v/>
      </c>
      <c r="BN22" s="68" t="str">
        <f t="shared" si="21"/>
        <v/>
      </c>
      <c r="BO22" s="69" t="str">
        <f t="shared" si="22"/>
        <v/>
      </c>
      <c r="BP22" s="63"/>
      <c r="BQ22" s="64">
        <f t="shared" si="23"/>
        <v>0.11458333333333334</v>
      </c>
      <c r="BR22" s="67" t="str">
        <f t="shared" si="24"/>
        <v/>
      </c>
      <c r="BS22" s="68" t="str">
        <f t="shared" si="25"/>
        <v/>
      </c>
      <c r="BT22" s="68" t="str">
        <f t="shared" si="26"/>
        <v/>
      </c>
      <c r="BU22" s="68" t="str">
        <f t="shared" si="27"/>
        <v/>
      </c>
      <c r="BV22" s="68" t="str">
        <f t="shared" si="28"/>
        <v/>
      </c>
      <c r="BW22" s="68" t="str">
        <f t="shared" si="29"/>
        <v/>
      </c>
      <c r="BX22" s="69" t="str">
        <f t="shared" si="30"/>
        <v/>
      </c>
      <c r="BY22" s="65"/>
      <c r="BZ22" s="66" t="e">
        <f t="shared" si="43"/>
        <v>#N/A</v>
      </c>
      <c r="CA22" s="414" t="e">
        <f t="shared" si="31"/>
        <v>#N/A</v>
      </c>
      <c r="CB22" s="416">
        <f t="shared" si="48"/>
        <v>60</v>
      </c>
      <c r="CC22" s="65"/>
      <c r="CD22" s="67">
        <f t="shared" si="32"/>
        <v>0</v>
      </c>
      <c r="CE22" s="68">
        <f t="shared" si="33"/>
        <v>0</v>
      </c>
      <c r="CF22" s="68">
        <f t="shared" si="34"/>
        <v>0</v>
      </c>
      <c r="CG22" s="68">
        <f t="shared" si="35"/>
        <v>0</v>
      </c>
      <c r="CH22" s="68">
        <f t="shared" si="36"/>
        <v>0</v>
      </c>
      <c r="CI22" s="68">
        <f t="shared" si="37"/>
        <v>0</v>
      </c>
      <c r="CJ22" s="69">
        <f t="shared" si="38"/>
        <v>0</v>
      </c>
      <c r="CM22" s="67" t="str">
        <f t="shared" si="44"/>
        <v/>
      </c>
      <c r="CN22" s="68" t="str">
        <f t="shared" si="39"/>
        <v/>
      </c>
      <c r="CO22" s="68" t="str">
        <f t="shared" si="39"/>
        <v/>
      </c>
      <c r="CP22" s="68" t="str">
        <f t="shared" si="39"/>
        <v/>
      </c>
      <c r="CQ22" s="68" t="str">
        <f t="shared" si="39"/>
        <v/>
      </c>
      <c r="CR22" s="68" t="str">
        <f t="shared" si="39"/>
        <v/>
      </c>
      <c r="CS22" s="69" t="str">
        <f t="shared" si="39"/>
        <v/>
      </c>
      <c r="CU22" s="511">
        <f>SUM(SUMIF($AZ$8:$BF$8, {"NON";"NEUT"}, AZ22:BF22))/config!$AC$16</f>
        <v>0</v>
      </c>
      <c r="CV22" s="512">
        <f t="shared" si="45"/>
        <v>0.11458333333333334</v>
      </c>
      <c r="CY22" s="67">
        <f>SUM(C26*$CY$108, C133*$CY$109, C240*$CY$110, C347*$CY$111, C454*$CY$112, C561*$CY$113, C668*$CY$114)/config!$AC$16</f>
        <v>0</v>
      </c>
      <c r="CZ22" s="68">
        <f>SUM(SUM(D26:E26)*$CY$108, SUM(D133:E133)*$CY$109, SUM(D240:E240)*$CY$110, SUM(D347:E347)*$CY$111, SUM(D454:E454)*$CY$112, SUM(D561:E561)*$CY$113, SUM(D668:E668)*$CY$114)/config!$AC$16</f>
        <v>0</v>
      </c>
      <c r="DA22" s="68">
        <f>SUM(SUM(F26:G26)*$CY$108, SUM(F133:G133)*$CY$109, SUM(F240:G240)*$CY$110, SUM(F347:G347)*$CY$111, SUM(F454:G454)*$CY$112, SUM(F561:G561)*$CY$113, SUM(F668:G668)*$CY$114)/config!$AC$16</f>
        <v>0</v>
      </c>
      <c r="DB22" s="68">
        <f>SUM(H26*$CY$108, H133*$CY$109, H240*$CY$110, H347*$CY$111, H454*$CY$112, H561*$CY$113, H668*$CY$114)/config!$AC$16</f>
        <v>0</v>
      </c>
      <c r="DC22" s="69">
        <f>SUM(SUM(I26:L26)*$CY$108, SUM(I133:L133)*$CY$109, SUM(I240:L240)*$CY$110, SUM(I347:L347)*$CY$111, SUM(I454:L454)*$CY$112, SUM(I561:L561)*$CY$113, SUM(I668:L668)*$CY$114)/config!$AC$16</f>
        <v>0</v>
      </c>
    </row>
    <row r="23" spans="1:107" ht="15" x14ac:dyDescent="0.25">
      <c r="A23" s="440" t="s">
        <v>41</v>
      </c>
      <c r="B23" s="642">
        <v>0</v>
      </c>
      <c r="C23" s="184">
        <v>0</v>
      </c>
      <c r="D23" s="184">
        <v>0</v>
      </c>
      <c r="E23" s="184">
        <v>0</v>
      </c>
      <c r="F23" s="184">
        <v>0</v>
      </c>
      <c r="G23" s="184">
        <v>0</v>
      </c>
      <c r="H23" s="184">
        <v>0</v>
      </c>
      <c r="I23" s="184">
        <v>0</v>
      </c>
      <c r="J23" s="184">
        <v>0</v>
      </c>
      <c r="K23" s="184">
        <v>0</v>
      </c>
      <c r="L23" s="184">
        <v>0</v>
      </c>
      <c r="M23" s="654" t="s">
        <v>24</v>
      </c>
      <c r="N23" s="670" t="s">
        <v>41</v>
      </c>
      <c r="O23" s="642">
        <v>0</v>
      </c>
      <c r="P23" s="184">
        <v>0</v>
      </c>
      <c r="Q23" s="184">
        <v>0</v>
      </c>
      <c r="R23" s="184">
        <v>0</v>
      </c>
      <c r="S23" s="184">
        <v>0</v>
      </c>
      <c r="T23" s="184">
        <v>0</v>
      </c>
      <c r="U23" s="184">
        <v>0</v>
      </c>
      <c r="V23" s="184">
        <v>0</v>
      </c>
      <c r="W23" s="184">
        <v>0</v>
      </c>
      <c r="X23" s="184">
        <v>0</v>
      </c>
      <c r="Y23" s="184">
        <v>0</v>
      </c>
      <c r="Z23" s="184">
        <v>0</v>
      </c>
      <c r="AA23" s="184">
        <v>0</v>
      </c>
      <c r="AB23" s="184">
        <v>0</v>
      </c>
      <c r="AC23" s="185" t="s">
        <v>24</v>
      </c>
      <c r="AD23" s="185" t="s">
        <v>24</v>
      </c>
      <c r="AE23" s="184">
        <v>0</v>
      </c>
      <c r="AF23" s="185">
        <v>0</v>
      </c>
      <c r="AG23" s="184">
        <v>0</v>
      </c>
      <c r="AH23" s="185">
        <v>0</v>
      </c>
      <c r="AI23" s="184">
        <v>0</v>
      </c>
      <c r="AJ23" s="643">
        <v>0</v>
      </c>
      <c r="AP23" s="401">
        <f t="shared" si="40"/>
        <v>0</v>
      </c>
      <c r="AR23" s="56">
        <f t="shared" si="41"/>
        <v>0.125</v>
      </c>
      <c r="AS23" s="67">
        <f>SUM(C27,C134,C241,C348,C455,C562,C669)/config!$AC$13</f>
        <v>0</v>
      </c>
      <c r="AT23" s="68">
        <f>SUM(D27:E27,D134:E134,D241:E241,D348:E348,D455:E455,D562:E562,D669:E669)/config!$AC$13</f>
        <v>0.2857142857142857</v>
      </c>
      <c r="AU23" s="68">
        <f>SUM(F27:G27,F134:G134,F241:G241,F348:G348,F455:G455,F562:G562,F669:G669)/config!$AC$13</f>
        <v>0</v>
      </c>
      <c r="AV23" s="68">
        <f>SUM(H27,H134,H241,H348,H455,H562,H669)/config!$AC$13</f>
        <v>0</v>
      </c>
      <c r="AW23" s="69">
        <f>SUM(I27:L27,I134:L134,I241:L241,I348:L348,I455:L455,I562:L562,I669:L669)/config!$AC$13</f>
        <v>0</v>
      </c>
      <c r="AY23" s="56">
        <f t="shared" si="42"/>
        <v>0.125</v>
      </c>
      <c r="AZ23" s="70">
        <f t="shared" si="8"/>
        <v>0</v>
      </c>
      <c r="BA23" s="71">
        <f t="shared" si="9"/>
        <v>0</v>
      </c>
      <c r="BB23" s="71">
        <f t="shared" si="10"/>
        <v>0</v>
      </c>
      <c r="BC23" s="71">
        <f t="shared" si="11"/>
        <v>1</v>
      </c>
      <c r="BD23" s="71">
        <f t="shared" si="12"/>
        <v>0</v>
      </c>
      <c r="BE23" s="71">
        <f t="shared" si="13"/>
        <v>0</v>
      </c>
      <c r="BF23" s="72">
        <f t="shared" si="14"/>
        <v>1</v>
      </c>
      <c r="BG23" s="45"/>
      <c r="BH23" s="56">
        <f t="shared" si="15"/>
        <v>0.125</v>
      </c>
      <c r="BI23" s="67" t="str">
        <f t="shared" si="16"/>
        <v/>
      </c>
      <c r="BJ23" s="68" t="str">
        <f t="shared" si="17"/>
        <v/>
      </c>
      <c r="BK23" s="68" t="str">
        <f t="shared" si="18"/>
        <v/>
      </c>
      <c r="BL23" s="68">
        <f t="shared" si="19"/>
        <v>58.1</v>
      </c>
      <c r="BM23" s="68" t="str">
        <f t="shared" si="20"/>
        <v/>
      </c>
      <c r="BN23" s="68" t="str">
        <f t="shared" si="21"/>
        <v/>
      </c>
      <c r="BO23" s="69">
        <f t="shared" si="22"/>
        <v>43.6</v>
      </c>
      <c r="BP23" s="63"/>
      <c r="BQ23" s="64">
        <f t="shared" si="23"/>
        <v>0.125</v>
      </c>
      <c r="BR23" s="67" t="str">
        <f t="shared" si="24"/>
        <v/>
      </c>
      <c r="BS23" s="68" t="str">
        <f t="shared" si="25"/>
        <v/>
      </c>
      <c r="BT23" s="68" t="str">
        <f t="shared" si="26"/>
        <v/>
      </c>
      <c r="BU23" s="68" t="str">
        <f t="shared" si="27"/>
        <v/>
      </c>
      <c r="BV23" s="68" t="str">
        <f t="shared" si="28"/>
        <v/>
      </c>
      <c r="BW23" s="68" t="str">
        <f t="shared" si="29"/>
        <v/>
      </c>
      <c r="BX23" s="69" t="str">
        <f t="shared" si="30"/>
        <v/>
      </c>
      <c r="BY23" s="65"/>
      <c r="BZ23" s="66">
        <f t="shared" si="43"/>
        <v>50.85</v>
      </c>
      <c r="CA23" s="414" t="e">
        <f t="shared" si="31"/>
        <v>#N/A</v>
      </c>
      <c r="CB23" s="416">
        <f t="shared" si="48"/>
        <v>60</v>
      </c>
      <c r="CC23" s="65"/>
      <c r="CD23" s="67">
        <f t="shared" si="32"/>
        <v>0</v>
      </c>
      <c r="CE23" s="68">
        <f t="shared" si="33"/>
        <v>0</v>
      </c>
      <c r="CF23" s="68">
        <f t="shared" si="34"/>
        <v>0</v>
      </c>
      <c r="CG23" s="68">
        <f t="shared" si="35"/>
        <v>0</v>
      </c>
      <c r="CH23" s="68">
        <f t="shared" si="36"/>
        <v>0</v>
      </c>
      <c r="CI23" s="68">
        <f t="shared" si="37"/>
        <v>0</v>
      </c>
      <c r="CJ23" s="69">
        <f t="shared" si="38"/>
        <v>0</v>
      </c>
      <c r="CM23" s="67" t="str">
        <f t="shared" si="44"/>
        <v/>
      </c>
      <c r="CN23" s="68" t="str">
        <f t="shared" si="39"/>
        <v/>
      </c>
      <c r="CO23" s="68" t="str">
        <f t="shared" si="39"/>
        <v/>
      </c>
      <c r="CP23" s="68">
        <f t="shared" si="39"/>
        <v>58.1</v>
      </c>
      <c r="CQ23" s="68" t="str">
        <f t="shared" si="39"/>
        <v/>
      </c>
      <c r="CR23" s="68" t="str">
        <f t="shared" si="39"/>
        <v/>
      </c>
      <c r="CS23" s="69">
        <f t="shared" si="39"/>
        <v>43.6</v>
      </c>
      <c r="CU23" s="511">
        <f>SUM(SUMIF($AZ$8:$BF$8, {"NON";"NEUT"}, AZ23:BF23))/config!$AC$16</f>
        <v>0.4</v>
      </c>
      <c r="CV23" s="512">
        <f t="shared" si="45"/>
        <v>0.125</v>
      </c>
      <c r="CY23" s="67">
        <f>SUM(C27*$CY$108, C134*$CY$109, C241*$CY$110, C348*$CY$111, C455*$CY$112, C562*$CY$113, C669*$CY$114)/config!$AC$16</f>
        <v>0</v>
      </c>
      <c r="CZ23" s="68">
        <f>SUM(SUM(D27:E27)*$CY$108, SUM(D134:E134)*$CY$109, SUM(D241:E241)*$CY$110, SUM(D348:E348)*$CY$111, SUM(D455:E455)*$CY$112, SUM(D562:E562)*$CY$113, SUM(D669:E669)*$CY$114)/config!$AC$16</f>
        <v>0.4</v>
      </c>
      <c r="DA23" s="68">
        <f>SUM(SUM(F27:G27)*$CY$108, SUM(F134:G134)*$CY$109, SUM(F241:G241)*$CY$110, SUM(F348:G348)*$CY$111, SUM(F455:G455)*$CY$112, SUM(F562:G562)*$CY$113, SUM(F669:G669)*$CY$114)/config!$AC$16</f>
        <v>0</v>
      </c>
      <c r="DB23" s="68">
        <f>SUM(H27*$CY$108, H134*$CY$109, H241*$CY$110, H348*$CY$111, H455*$CY$112, H562*$CY$113, H669*$CY$114)/config!$AC$16</f>
        <v>0</v>
      </c>
      <c r="DC23" s="69">
        <f>SUM(SUM(I27:L27)*$CY$108, SUM(I134:L134)*$CY$109, SUM(I241:L241)*$CY$110, SUM(I348:L348)*$CY$111, SUM(I455:L455)*$CY$112, SUM(I562:L562)*$CY$113, SUM(I669:L669)*$CY$114)/config!$AC$16</f>
        <v>0</v>
      </c>
    </row>
    <row r="24" spans="1:107" ht="15" x14ac:dyDescent="0.25">
      <c r="A24" s="440" t="s">
        <v>52</v>
      </c>
      <c r="B24" s="642">
        <v>0</v>
      </c>
      <c r="C24" s="184">
        <v>0</v>
      </c>
      <c r="D24" s="184">
        <v>0</v>
      </c>
      <c r="E24" s="184">
        <v>0</v>
      </c>
      <c r="F24" s="184">
        <v>0</v>
      </c>
      <c r="G24" s="184">
        <v>0</v>
      </c>
      <c r="H24" s="184">
        <v>0</v>
      </c>
      <c r="I24" s="184">
        <v>0</v>
      </c>
      <c r="J24" s="184">
        <v>0</v>
      </c>
      <c r="K24" s="184">
        <v>0</v>
      </c>
      <c r="L24" s="184">
        <v>0</v>
      </c>
      <c r="M24" s="654" t="s">
        <v>24</v>
      </c>
      <c r="N24" s="670" t="s">
        <v>52</v>
      </c>
      <c r="O24" s="642">
        <v>0</v>
      </c>
      <c r="P24" s="184">
        <v>0</v>
      </c>
      <c r="Q24" s="184">
        <v>0</v>
      </c>
      <c r="R24" s="184">
        <v>0</v>
      </c>
      <c r="S24" s="184">
        <v>0</v>
      </c>
      <c r="T24" s="184">
        <v>0</v>
      </c>
      <c r="U24" s="184">
        <v>0</v>
      </c>
      <c r="V24" s="184">
        <v>0</v>
      </c>
      <c r="W24" s="184">
        <v>0</v>
      </c>
      <c r="X24" s="184">
        <v>0</v>
      </c>
      <c r="Y24" s="184">
        <v>0</v>
      </c>
      <c r="Z24" s="184">
        <v>0</v>
      </c>
      <c r="AA24" s="184">
        <v>0</v>
      </c>
      <c r="AB24" s="184">
        <v>0</v>
      </c>
      <c r="AC24" s="185" t="s">
        <v>24</v>
      </c>
      <c r="AD24" s="185" t="s">
        <v>24</v>
      </c>
      <c r="AE24" s="184">
        <v>0</v>
      </c>
      <c r="AF24" s="185">
        <v>0</v>
      </c>
      <c r="AG24" s="184">
        <v>0</v>
      </c>
      <c r="AH24" s="185">
        <v>0</v>
      </c>
      <c r="AI24" s="184">
        <v>0</v>
      </c>
      <c r="AJ24" s="643">
        <v>0</v>
      </c>
      <c r="AP24" s="401">
        <f t="shared" si="40"/>
        <v>0</v>
      </c>
      <c r="AR24" s="56">
        <f t="shared" si="41"/>
        <v>0.13541666666666666</v>
      </c>
      <c r="AS24" s="67">
        <f>SUM(C28,C135,C242,C349,C456,C563,C670)/config!$AC$13</f>
        <v>0</v>
      </c>
      <c r="AT24" s="68">
        <f>SUM(D28:E28,D135:E135,D242:E242,D349:E349,D456:E456,D563:E563,D670:E670)/config!$AC$13</f>
        <v>0.2857142857142857</v>
      </c>
      <c r="AU24" s="68">
        <f>SUM(F28:G28,F135:G135,F242:G242,F349:G349,F456:G456,F563:G563,F670:G670)/config!$AC$13</f>
        <v>0</v>
      </c>
      <c r="AV24" s="68">
        <f>SUM(H28,H135,H242,H349,H456,H563,H670)/config!$AC$13</f>
        <v>0</v>
      </c>
      <c r="AW24" s="69">
        <f>SUM(I28:L28,I135:L135,I242:L242,I349:L349,I456:L456,I563:L563,I670:L670)/config!$AC$13</f>
        <v>0</v>
      </c>
      <c r="AY24" s="56">
        <f t="shared" si="42"/>
        <v>0.13541666666666666</v>
      </c>
      <c r="AZ24" s="70">
        <f t="shared" si="8"/>
        <v>0</v>
      </c>
      <c r="BA24" s="71">
        <f t="shared" si="9"/>
        <v>1</v>
      </c>
      <c r="BB24" s="71">
        <f t="shared" si="10"/>
        <v>1</v>
      </c>
      <c r="BC24" s="71">
        <f t="shared" si="11"/>
        <v>0</v>
      </c>
      <c r="BD24" s="71">
        <f t="shared" si="12"/>
        <v>0</v>
      </c>
      <c r="BE24" s="71">
        <f t="shared" si="13"/>
        <v>0</v>
      </c>
      <c r="BF24" s="72">
        <f t="shared" si="14"/>
        <v>0</v>
      </c>
      <c r="BG24" s="45"/>
      <c r="BH24" s="56">
        <f t="shared" si="15"/>
        <v>0.13541666666666666</v>
      </c>
      <c r="BI24" s="67" t="str">
        <f t="shared" si="16"/>
        <v/>
      </c>
      <c r="BJ24" s="68">
        <f t="shared" si="17"/>
        <v>39.6</v>
      </c>
      <c r="BK24" s="68">
        <f t="shared" si="18"/>
        <v>44.6</v>
      </c>
      <c r="BL24" s="68" t="str">
        <f t="shared" si="19"/>
        <v/>
      </c>
      <c r="BM24" s="68" t="str">
        <f t="shared" si="20"/>
        <v/>
      </c>
      <c r="BN24" s="68" t="str">
        <f t="shared" si="21"/>
        <v/>
      </c>
      <c r="BO24" s="69" t="str">
        <f t="shared" si="22"/>
        <v/>
      </c>
      <c r="BP24" s="63"/>
      <c r="BQ24" s="64">
        <f t="shared" si="23"/>
        <v>0.13541666666666666</v>
      </c>
      <c r="BR24" s="67" t="str">
        <f t="shared" si="24"/>
        <v/>
      </c>
      <c r="BS24" s="68" t="str">
        <f t="shared" si="25"/>
        <v/>
      </c>
      <c r="BT24" s="68" t="str">
        <f t="shared" si="26"/>
        <v/>
      </c>
      <c r="BU24" s="68" t="str">
        <f t="shared" si="27"/>
        <v/>
      </c>
      <c r="BV24" s="68" t="str">
        <f t="shared" si="28"/>
        <v/>
      </c>
      <c r="BW24" s="68" t="str">
        <f t="shared" si="29"/>
        <v/>
      </c>
      <c r="BX24" s="69" t="str">
        <f t="shared" si="30"/>
        <v/>
      </c>
      <c r="BY24" s="65"/>
      <c r="BZ24" s="66">
        <f t="shared" si="43"/>
        <v>42.1</v>
      </c>
      <c r="CA24" s="414" t="e">
        <f t="shared" si="31"/>
        <v>#N/A</v>
      </c>
      <c r="CB24" s="416">
        <f t="shared" si="48"/>
        <v>60</v>
      </c>
      <c r="CC24" s="65"/>
      <c r="CD24" s="67">
        <f t="shared" si="32"/>
        <v>0</v>
      </c>
      <c r="CE24" s="68">
        <f t="shared" si="33"/>
        <v>0</v>
      </c>
      <c r="CF24" s="68">
        <f t="shared" si="34"/>
        <v>0</v>
      </c>
      <c r="CG24" s="68">
        <f t="shared" si="35"/>
        <v>0</v>
      </c>
      <c r="CH24" s="68">
        <f t="shared" si="36"/>
        <v>0</v>
      </c>
      <c r="CI24" s="68">
        <f t="shared" si="37"/>
        <v>0</v>
      </c>
      <c r="CJ24" s="69">
        <f t="shared" si="38"/>
        <v>0</v>
      </c>
      <c r="CM24" s="67" t="str">
        <f t="shared" si="44"/>
        <v/>
      </c>
      <c r="CN24" s="68">
        <f t="shared" si="39"/>
        <v>39.6</v>
      </c>
      <c r="CO24" s="68">
        <f t="shared" si="39"/>
        <v>44.6</v>
      </c>
      <c r="CP24" s="68" t="str">
        <f t="shared" si="39"/>
        <v/>
      </c>
      <c r="CQ24" s="68" t="str">
        <f t="shared" si="39"/>
        <v/>
      </c>
      <c r="CR24" s="68" t="str">
        <f t="shared" si="39"/>
        <v/>
      </c>
      <c r="CS24" s="69" t="str">
        <f t="shared" si="39"/>
        <v/>
      </c>
      <c r="CU24" s="511">
        <f>SUM(SUMIF($AZ$8:$BF$8, {"NON";"NEUT"}, AZ24:BF24))/config!$AC$16</f>
        <v>0.4</v>
      </c>
      <c r="CV24" s="512">
        <f t="shared" si="45"/>
        <v>0.13541666666666666</v>
      </c>
      <c r="CY24" s="67">
        <f>SUM(C28*$CY$108, C135*$CY$109, C242*$CY$110, C349*$CY$111, C456*$CY$112, C563*$CY$113, C670*$CY$114)/config!$AC$16</f>
        <v>0</v>
      </c>
      <c r="CZ24" s="68">
        <f>SUM(SUM(D28:E28)*$CY$108, SUM(D135:E135)*$CY$109, SUM(D242:E242)*$CY$110, SUM(D349:E349)*$CY$111, SUM(D456:E456)*$CY$112, SUM(D563:E563)*$CY$113, SUM(D670:E670)*$CY$114)/config!$AC$16</f>
        <v>0.4</v>
      </c>
      <c r="DA24" s="68">
        <f>SUM(SUM(F28:G28)*$CY$108, SUM(F135:G135)*$CY$109, SUM(F242:G242)*$CY$110, SUM(F349:G349)*$CY$111, SUM(F456:G456)*$CY$112, SUM(F563:G563)*$CY$113, SUM(F670:G670)*$CY$114)/config!$AC$16</f>
        <v>0</v>
      </c>
      <c r="DB24" s="68">
        <f>SUM(H28*$CY$108, H135*$CY$109, H242*$CY$110, H349*$CY$111, H456*$CY$112, H563*$CY$113, H670*$CY$114)/config!$AC$16</f>
        <v>0</v>
      </c>
      <c r="DC24" s="69">
        <f>SUM(SUM(I28:L28)*$CY$108, SUM(I135:L135)*$CY$109, SUM(I242:L242)*$CY$110, SUM(I349:L349)*$CY$111, SUM(I456:L456)*$CY$112, SUM(I563:L563)*$CY$113, SUM(I670:L670)*$CY$114)/config!$AC$16</f>
        <v>0</v>
      </c>
    </row>
    <row r="25" spans="1:107" ht="15" x14ac:dyDescent="0.25">
      <c r="A25" s="440" t="s">
        <v>54</v>
      </c>
      <c r="B25" s="642">
        <v>0</v>
      </c>
      <c r="C25" s="184">
        <v>0</v>
      </c>
      <c r="D25" s="184">
        <v>0</v>
      </c>
      <c r="E25" s="184">
        <v>0</v>
      </c>
      <c r="F25" s="184">
        <v>0</v>
      </c>
      <c r="G25" s="184">
        <v>0</v>
      </c>
      <c r="H25" s="184">
        <v>0</v>
      </c>
      <c r="I25" s="184">
        <v>0</v>
      </c>
      <c r="J25" s="184">
        <v>0</v>
      </c>
      <c r="K25" s="184">
        <v>0</v>
      </c>
      <c r="L25" s="184">
        <v>0</v>
      </c>
      <c r="M25" s="654" t="s">
        <v>24</v>
      </c>
      <c r="N25" s="670" t="s">
        <v>54</v>
      </c>
      <c r="O25" s="642">
        <v>0</v>
      </c>
      <c r="P25" s="184">
        <v>0</v>
      </c>
      <c r="Q25" s="184">
        <v>0</v>
      </c>
      <c r="R25" s="184">
        <v>0</v>
      </c>
      <c r="S25" s="184">
        <v>0</v>
      </c>
      <c r="T25" s="184">
        <v>0</v>
      </c>
      <c r="U25" s="184">
        <v>0</v>
      </c>
      <c r="V25" s="184">
        <v>0</v>
      </c>
      <c r="W25" s="184">
        <v>0</v>
      </c>
      <c r="X25" s="184">
        <v>0</v>
      </c>
      <c r="Y25" s="184">
        <v>0</v>
      </c>
      <c r="Z25" s="184">
        <v>0</v>
      </c>
      <c r="AA25" s="184">
        <v>0</v>
      </c>
      <c r="AB25" s="184">
        <v>0</v>
      </c>
      <c r="AC25" s="185" t="s">
        <v>24</v>
      </c>
      <c r="AD25" s="185" t="s">
        <v>24</v>
      </c>
      <c r="AE25" s="184">
        <v>0</v>
      </c>
      <c r="AF25" s="185">
        <v>0</v>
      </c>
      <c r="AG25" s="184">
        <v>0</v>
      </c>
      <c r="AH25" s="185">
        <v>0</v>
      </c>
      <c r="AI25" s="184">
        <v>0</v>
      </c>
      <c r="AJ25" s="643">
        <v>0</v>
      </c>
      <c r="AP25" s="401">
        <f t="shared" si="40"/>
        <v>0</v>
      </c>
      <c r="AR25" s="56">
        <f t="shared" si="41"/>
        <v>0.14583333333333331</v>
      </c>
      <c r="AS25" s="67">
        <f>SUM(C29,C136,C243,C350,C457,C564,C671)/config!$AC$13</f>
        <v>0</v>
      </c>
      <c r="AT25" s="68">
        <f>SUM(D29:E29,D136:E136,D243:E243,D350:E350,D457:E457,D564:E564,D671:E671)/config!$AC$13</f>
        <v>0.14285714285714285</v>
      </c>
      <c r="AU25" s="68">
        <f>SUM(F29:G29,F136:G136,F243:G243,F350:G350,F457:G457,F564:G564,F671:G671)/config!$AC$13</f>
        <v>0</v>
      </c>
      <c r="AV25" s="68">
        <f>SUM(H29,H136,H243,H350,H457,H564,H671)/config!$AC$13</f>
        <v>0</v>
      </c>
      <c r="AW25" s="69">
        <f>SUM(I29:L29,I136:L136,I243:L243,I350:L350,I457:L457,I564:L564,I671:L671)/config!$AC$13</f>
        <v>0</v>
      </c>
      <c r="AY25" s="56">
        <f t="shared" si="42"/>
        <v>0.14583333333333331</v>
      </c>
      <c r="AZ25" s="70">
        <f t="shared" si="8"/>
        <v>0</v>
      </c>
      <c r="BA25" s="71">
        <f t="shared" si="9"/>
        <v>0</v>
      </c>
      <c r="BB25" s="71">
        <f t="shared" si="10"/>
        <v>0</v>
      </c>
      <c r="BC25" s="71">
        <f t="shared" si="11"/>
        <v>0</v>
      </c>
      <c r="BD25" s="71">
        <f t="shared" si="12"/>
        <v>0</v>
      </c>
      <c r="BE25" s="71">
        <f t="shared" si="13"/>
        <v>0</v>
      </c>
      <c r="BF25" s="72">
        <f t="shared" si="14"/>
        <v>1</v>
      </c>
      <c r="BG25" s="45"/>
      <c r="BH25" s="56">
        <f t="shared" si="15"/>
        <v>0.14583333333333331</v>
      </c>
      <c r="BI25" s="67" t="str">
        <f t="shared" si="16"/>
        <v/>
      </c>
      <c r="BJ25" s="68" t="str">
        <f t="shared" si="17"/>
        <v/>
      </c>
      <c r="BK25" s="68" t="str">
        <f t="shared" si="18"/>
        <v/>
      </c>
      <c r="BL25" s="68" t="str">
        <f t="shared" si="19"/>
        <v/>
      </c>
      <c r="BM25" s="68" t="str">
        <f t="shared" si="20"/>
        <v/>
      </c>
      <c r="BN25" s="68" t="str">
        <f t="shared" si="21"/>
        <v/>
      </c>
      <c r="BO25" s="69">
        <f t="shared" si="22"/>
        <v>44.4</v>
      </c>
      <c r="BP25" s="63"/>
      <c r="BQ25" s="64">
        <f t="shared" si="23"/>
        <v>0.14583333333333331</v>
      </c>
      <c r="BR25" s="67" t="str">
        <f t="shared" si="24"/>
        <v/>
      </c>
      <c r="BS25" s="68" t="str">
        <f t="shared" si="25"/>
        <v/>
      </c>
      <c r="BT25" s="68" t="str">
        <f t="shared" si="26"/>
        <v/>
      </c>
      <c r="BU25" s="68" t="str">
        <f t="shared" si="27"/>
        <v/>
      </c>
      <c r="BV25" s="68" t="str">
        <f t="shared" si="28"/>
        <v/>
      </c>
      <c r="BW25" s="68" t="str">
        <f t="shared" si="29"/>
        <v/>
      </c>
      <c r="BX25" s="69" t="str">
        <f t="shared" si="30"/>
        <v/>
      </c>
      <c r="BY25" s="65"/>
      <c r="BZ25" s="66">
        <f t="shared" si="43"/>
        <v>44.4</v>
      </c>
      <c r="CA25" s="414" t="e">
        <f t="shared" si="31"/>
        <v>#N/A</v>
      </c>
      <c r="CB25" s="416">
        <f t="shared" si="48"/>
        <v>60</v>
      </c>
      <c r="CC25" s="65"/>
      <c r="CD25" s="67">
        <f t="shared" si="32"/>
        <v>0</v>
      </c>
      <c r="CE25" s="68">
        <f t="shared" si="33"/>
        <v>0</v>
      </c>
      <c r="CF25" s="68">
        <f t="shared" si="34"/>
        <v>0</v>
      </c>
      <c r="CG25" s="68">
        <f t="shared" si="35"/>
        <v>0</v>
      </c>
      <c r="CH25" s="68">
        <f t="shared" si="36"/>
        <v>0</v>
      </c>
      <c r="CI25" s="68">
        <f t="shared" si="37"/>
        <v>0</v>
      </c>
      <c r="CJ25" s="69">
        <f t="shared" si="38"/>
        <v>0</v>
      </c>
      <c r="CM25" s="67" t="str">
        <f t="shared" si="44"/>
        <v/>
      </c>
      <c r="CN25" s="68" t="str">
        <f t="shared" si="39"/>
        <v/>
      </c>
      <c r="CO25" s="68" t="str">
        <f t="shared" si="39"/>
        <v/>
      </c>
      <c r="CP25" s="68" t="str">
        <f t="shared" si="39"/>
        <v/>
      </c>
      <c r="CQ25" s="68" t="str">
        <f t="shared" si="39"/>
        <v/>
      </c>
      <c r="CR25" s="68" t="str">
        <f t="shared" si="39"/>
        <v/>
      </c>
      <c r="CS25" s="69">
        <f t="shared" si="39"/>
        <v>44.4</v>
      </c>
      <c r="CU25" s="511">
        <f>SUM(SUMIF($AZ$8:$BF$8, {"NON";"NEUT"}, AZ25:BF25))/config!$AC$16</f>
        <v>0.2</v>
      </c>
      <c r="CV25" s="512">
        <f t="shared" si="45"/>
        <v>0.14583333333333331</v>
      </c>
      <c r="CY25" s="67">
        <f>SUM(C29*$CY$108, C136*$CY$109, C243*$CY$110, C350*$CY$111, C457*$CY$112, C564*$CY$113, C671*$CY$114)/config!$AC$16</f>
        <v>0</v>
      </c>
      <c r="CZ25" s="68">
        <f>SUM(SUM(D29:E29)*$CY$108, SUM(D136:E136)*$CY$109, SUM(D243:E243)*$CY$110, SUM(D350:E350)*$CY$111, SUM(D457:E457)*$CY$112, SUM(D564:E564)*$CY$113, SUM(D671:E671)*$CY$114)/config!$AC$16</f>
        <v>0.2</v>
      </c>
      <c r="DA25" s="68">
        <f>SUM(SUM(F29:G29)*$CY$108, SUM(F136:G136)*$CY$109, SUM(F243:G243)*$CY$110, SUM(F350:G350)*$CY$111, SUM(F457:G457)*$CY$112, SUM(F564:G564)*$CY$113, SUM(F671:G671)*$CY$114)/config!$AC$16</f>
        <v>0</v>
      </c>
      <c r="DB25" s="68">
        <f>SUM(H29*$CY$108, H136*$CY$109, H243*$CY$110, H350*$CY$111, H457*$CY$112, H564*$CY$113, H671*$CY$114)/config!$AC$16</f>
        <v>0</v>
      </c>
      <c r="DC25" s="69">
        <f>SUM(SUM(I29:L29)*$CY$108, SUM(I136:L136)*$CY$109, SUM(I243:L243)*$CY$110, SUM(I350:L350)*$CY$111, SUM(I457:L457)*$CY$112, SUM(I564:L564)*$CY$113, SUM(I671:L671)*$CY$114)/config!$AC$16</f>
        <v>0</v>
      </c>
    </row>
    <row r="26" spans="1:107" ht="15" x14ac:dyDescent="0.25">
      <c r="A26" s="440" t="s">
        <v>56</v>
      </c>
      <c r="B26" s="642">
        <v>0</v>
      </c>
      <c r="C26" s="184">
        <v>0</v>
      </c>
      <c r="D26" s="184">
        <v>0</v>
      </c>
      <c r="E26" s="184">
        <v>0</v>
      </c>
      <c r="F26" s="184">
        <v>0</v>
      </c>
      <c r="G26" s="184">
        <v>0</v>
      </c>
      <c r="H26" s="184">
        <v>0</v>
      </c>
      <c r="I26" s="184">
        <v>0</v>
      </c>
      <c r="J26" s="184">
        <v>0</v>
      </c>
      <c r="K26" s="184">
        <v>0</v>
      </c>
      <c r="L26" s="184">
        <v>0</v>
      </c>
      <c r="M26" s="654" t="s">
        <v>24</v>
      </c>
      <c r="N26" s="670" t="s">
        <v>56</v>
      </c>
      <c r="O26" s="642">
        <v>0</v>
      </c>
      <c r="P26" s="184">
        <v>0</v>
      </c>
      <c r="Q26" s="184">
        <v>0</v>
      </c>
      <c r="R26" s="184">
        <v>0</v>
      </c>
      <c r="S26" s="184">
        <v>0</v>
      </c>
      <c r="T26" s="184">
        <v>0</v>
      </c>
      <c r="U26" s="184">
        <v>0</v>
      </c>
      <c r="V26" s="184">
        <v>0</v>
      </c>
      <c r="W26" s="184">
        <v>0</v>
      </c>
      <c r="X26" s="184">
        <v>0</v>
      </c>
      <c r="Y26" s="184">
        <v>0</v>
      </c>
      <c r="Z26" s="184">
        <v>0</v>
      </c>
      <c r="AA26" s="184">
        <v>0</v>
      </c>
      <c r="AB26" s="184">
        <v>0</v>
      </c>
      <c r="AC26" s="185" t="s">
        <v>24</v>
      </c>
      <c r="AD26" s="185" t="s">
        <v>24</v>
      </c>
      <c r="AE26" s="184">
        <v>0</v>
      </c>
      <c r="AF26" s="185">
        <v>0</v>
      </c>
      <c r="AG26" s="184">
        <v>0</v>
      </c>
      <c r="AH26" s="185">
        <v>0</v>
      </c>
      <c r="AI26" s="184">
        <v>0</v>
      </c>
      <c r="AJ26" s="643">
        <v>0</v>
      </c>
      <c r="AP26" s="401">
        <f t="shared" si="40"/>
        <v>2</v>
      </c>
      <c r="AR26" s="56">
        <f t="shared" si="41"/>
        <v>0.15624999999999997</v>
      </c>
      <c r="AS26" s="67">
        <f>SUM(C30,C137,C244,C351,C458,C565,C672)/config!$AC$13</f>
        <v>0</v>
      </c>
      <c r="AT26" s="68">
        <f>SUM(D30:E30,D137:E137,D244:E244,D351:E351,D458:E458,D565:E565,D672:E672)/config!$AC$13</f>
        <v>0.42857142857142855</v>
      </c>
      <c r="AU26" s="68">
        <f>SUM(F30:G30,F137:G137,F244:G244,F351:G351,F458:G458,F565:G565,F672:G672)/config!$AC$13</f>
        <v>0.42857142857142855</v>
      </c>
      <c r="AV26" s="68">
        <f>SUM(H30,H137,H244,H351,H458,H565,H672)/config!$AC$13</f>
        <v>0</v>
      </c>
      <c r="AW26" s="69">
        <f>SUM(I30:L30,I137:L137,I244:L244,I351:L351,I458:L458,I565:L565,I672:L672)/config!$AC$13</f>
        <v>0</v>
      </c>
      <c r="AY26" s="56">
        <f t="shared" si="42"/>
        <v>0.15624999999999997</v>
      </c>
      <c r="AZ26" s="70">
        <f t="shared" si="8"/>
        <v>0</v>
      </c>
      <c r="BA26" s="71">
        <f t="shared" si="9"/>
        <v>2</v>
      </c>
      <c r="BB26" s="71">
        <f t="shared" si="10"/>
        <v>0</v>
      </c>
      <c r="BC26" s="71">
        <f t="shared" si="11"/>
        <v>3</v>
      </c>
      <c r="BD26" s="71">
        <f t="shared" si="12"/>
        <v>1</v>
      </c>
      <c r="BE26" s="71">
        <f t="shared" si="13"/>
        <v>0</v>
      </c>
      <c r="BF26" s="72">
        <f t="shared" si="14"/>
        <v>0</v>
      </c>
      <c r="BG26" s="45"/>
      <c r="BH26" s="56">
        <f t="shared" si="15"/>
        <v>0.15624999999999997</v>
      </c>
      <c r="BI26" s="67" t="str">
        <f t="shared" si="16"/>
        <v/>
      </c>
      <c r="BJ26" s="68">
        <f t="shared" si="17"/>
        <v>40.5</v>
      </c>
      <c r="BK26" s="68" t="str">
        <f t="shared" si="18"/>
        <v/>
      </c>
      <c r="BL26" s="68">
        <f t="shared" si="19"/>
        <v>40.799999999999997</v>
      </c>
      <c r="BM26" s="68">
        <f t="shared" si="20"/>
        <v>40.5</v>
      </c>
      <c r="BN26" s="68" t="str">
        <f t="shared" si="21"/>
        <v/>
      </c>
      <c r="BO26" s="69" t="str">
        <f t="shared" si="22"/>
        <v/>
      </c>
      <c r="BP26" s="63"/>
      <c r="BQ26" s="64">
        <f t="shared" si="23"/>
        <v>0.15624999999999997</v>
      </c>
      <c r="BR26" s="67" t="str">
        <f t="shared" si="24"/>
        <v/>
      </c>
      <c r="BS26" s="68" t="str">
        <f t="shared" si="25"/>
        <v/>
      </c>
      <c r="BT26" s="68" t="str">
        <f t="shared" si="26"/>
        <v/>
      </c>
      <c r="BU26" s="68" t="str">
        <f t="shared" si="27"/>
        <v/>
      </c>
      <c r="BV26" s="68" t="str">
        <f t="shared" si="28"/>
        <v/>
      </c>
      <c r="BW26" s="68" t="str">
        <f t="shared" si="29"/>
        <v/>
      </c>
      <c r="BX26" s="69" t="str">
        <f t="shared" si="30"/>
        <v/>
      </c>
      <c r="BY26" s="65"/>
      <c r="BZ26" s="66">
        <f t="shared" si="43"/>
        <v>40.6</v>
      </c>
      <c r="CA26" s="414" t="e">
        <f t="shared" si="31"/>
        <v>#N/A</v>
      </c>
      <c r="CB26" s="416">
        <f t="shared" si="48"/>
        <v>60</v>
      </c>
      <c r="CC26" s="65"/>
      <c r="CD26" s="67">
        <f t="shared" si="32"/>
        <v>0</v>
      </c>
      <c r="CE26" s="68">
        <f t="shared" si="33"/>
        <v>0</v>
      </c>
      <c r="CF26" s="68">
        <f t="shared" si="34"/>
        <v>0</v>
      </c>
      <c r="CG26" s="68">
        <f t="shared" si="35"/>
        <v>0</v>
      </c>
      <c r="CH26" s="68">
        <f t="shared" si="36"/>
        <v>0</v>
      </c>
      <c r="CI26" s="68">
        <f t="shared" si="37"/>
        <v>0</v>
      </c>
      <c r="CJ26" s="69">
        <f t="shared" si="38"/>
        <v>0</v>
      </c>
      <c r="CM26" s="67" t="str">
        <f t="shared" si="44"/>
        <v/>
      </c>
      <c r="CN26" s="68">
        <f t="shared" si="39"/>
        <v>81</v>
      </c>
      <c r="CO26" s="68" t="str">
        <f t="shared" si="39"/>
        <v/>
      </c>
      <c r="CP26" s="68">
        <f t="shared" si="39"/>
        <v>122.39999999999999</v>
      </c>
      <c r="CQ26" s="68">
        <f t="shared" si="39"/>
        <v>40.5</v>
      </c>
      <c r="CR26" s="68" t="str">
        <f t="shared" si="39"/>
        <v/>
      </c>
      <c r="CS26" s="69" t="str">
        <f t="shared" si="39"/>
        <v/>
      </c>
      <c r="CU26" s="511">
        <f>SUM(SUMIF($AZ$8:$BF$8, {"NON";"NEUT"}, AZ26:BF26))/config!$AC$16</f>
        <v>1</v>
      </c>
      <c r="CV26" s="512">
        <f t="shared" si="45"/>
        <v>0.15624999999999997</v>
      </c>
      <c r="CY26" s="67">
        <f>SUM(C30*$CY$108, C137*$CY$109, C244*$CY$110, C351*$CY$111, C458*$CY$112, C565*$CY$113, C672*$CY$114)/config!$AC$16</f>
        <v>0</v>
      </c>
      <c r="CZ26" s="68">
        <f>SUM(SUM(D30:E30)*$CY$108, SUM(D137:E137)*$CY$109, SUM(D244:E244)*$CY$110, SUM(D351:E351)*$CY$111, SUM(D458:E458)*$CY$112, SUM(D565:E565)*$CY$113, SUM(D672:E672)*$CY$114)/config!$AC$16</f>
        <v>0.4</v>
      </c>
      <c r="DA26" s="68">
        <f>SUM(SUM(F30:G30)*$CY$108, SUM(F137:G137)*$CY$109, SUM(F244:G244)*$CY$110, SUM(F351:G351)*$CY$111, SUM(F458:G458)*$CY$112, SUM(F565:G565)*$CY$113, SUM(F672:G672)*$CY$114)/config!$AC$16</f>
        <v>0.6</v>
      </c>
      <c r="DB26" s="68">
        <f>SUM(H30*$CY$108, H137*$CY$109, H244*$CY$110, H351*$CY$111, H458*$CY$112, H565*$CY$113, H672*$CY$114)/config!$AC$16</f>
        <v>0</v>
      </c>
      <c r="DC26" s="69">
        <f>SUM(SUM(I30:L30)*$CY$108, SUM(I137:L137)*$CY$109, SUM(I244:L244)*$CY$110, SUM(I351:L351)*$CY$111, SUM(I458:L458)*$CY$112, SUM(I565:L565)*$CY$113, SUM(I672:L672)*$CY$114)/config!$AC$16</f>
        <v>0</v>
      </c>
    </row>
    <row r="27" spans="1:107" ht="15" x14ac:dyDescent="0.25">
      <c r="A27" s="440" t="s">
        <v>43</v>
      </c>
      <c r="B27" s="642">
        <v>0</v>
      </c>
      <c r="C27" s="184">
        <v>0</v>
      </c>
      <c r="D27" s="184">
        <v>0</v>
      </c>
      <c r="E27" s="184">
        <v>0</v>
      </c>
      <c r="F27" s="184">
        <v>0</v>
      </c>
      <c r="G27" s="184">
        <v>0</v>
      </c>
      <c r="H27" s="184">
        <v>0</v>
      </c>
      <c r="I27" s="184">
        <v>0</v>
      </c>
      <c r="J27" s="184">
        <v>0</v>
      </c>
      <c r="K27" s="184">
        <v>0</v>
      </c>
      <c r="L27" s="184">
        <v>0</v>
      </c>
      <c r="M27" s="654" t="s">
        <v>24</v>
      </c>
      <c r="N27" s="670" t="s">
        <v>43</v>
      </c>
      <c r="O27" s="642">
        <v>0</v>
      </c>
      <c r="P27" s="184">
        <v>0</v>
      </c>
      <c r="Q27" s="184">
        <v>0</v>
      </c>
      <c r="R27" s="184">
        <v>0</v>
      </c>
      <c r="S27" s="184">
        <v>0</v>
      </c>
      <c r="T27" s="184">
        <v>0</v>
      </c>
      <c r="U27" s="184">
        <v>0</v>
      </c>
      <c r="V27" s="184">
        <v>0</v>
      </c>
      <c r="W27" s="184">
        <v>0</v>
      </c>
      <c r="X27" s="184">
        <v>0</v>
      </c>
      <c r="Y27" s="184">
        <v>0</v>
      </c>
      <c r="Z27" s="184">
        <v>0</v>
      </c>
      <c r="AA27" s="184">
        <v>0</v>
      </c>
      <c r="AB27" s="184">
        <v>0</v>
      </c>
      <c r="AC27" s="185" t="s">
        <v>24</v>
      </c>
      <c r="AD27" s="185" t="s">
        <v>24</v>
      </c>
      <c r="AE27" s="184">
        <v>0</v>
      </c>
      <c r="AF27" s="185">
        <v>0</v>
      </c>
      <c r="AG27" s="184">
        <v>0</v>
      </c>
      <c r="AH27" s="185">
        <v>0</v>
      </c>
      <c r="AI27" s="184">
        <v>0</v>
      </c>
      <c r="AJ27" s="643">
        <v>0</v>
      </c>
      <c r="AP27" s="401">
        <f t="shared" si="40"/>
        <v>0</v>
      </c>
      <c r="AR27" s="56">
        <f t="shared" si="41"/>
        <v>0.16666666666666663</v>
      </c>
      <c r="AS27" s="67">
        <f>SUM(C31,C138,C245,C352,C459,C566,C673)/config!$AC$13</f>
        <v>0</v>
      </c>
      <c r="AT27" s="68">
        <f>SUM(D31:E31,D138:E138,D245:E245,D352:E352,D459:E459,D566:E566,D673:E673)/config!$AC$13</f>
        <v>0.14285714285714285</v>
      </c>
      <c r="AU27" s="68">
        <f>SUM(F31:G31,F138:G138,F245:G245,F352:G352,F459:G459,F566:G566,F673:G673)/config!$AC$13</f>
        <v>0</v>
      </c>
      <c r="AV27" s="68">
        <f>SUM(H31,H138,H245,H352,H459,H566,H673)/config!$AC$13</f>
        <v>0</v>
      </c>
      <c r="AW27" s="69">
        <f>SUM(I31:L31,I138:L138,I245:L245,I352:L352,I459:L459,I566:L566,I673:L673)/config!$AC$13</f>
        <v>0</v>
      </c>
      <c r="AY27" s="56">
        <f t="shared" si="42"/>
        <v>0.16666666666666663</v>
      </c>
      <c r="AZ27" s="70">
        <f t="shared" si="8"/>
        <v>0</v>
      </c>
      <c r="BA27" s="71">
        <f t="shared" si="9"/>
        <v>0</v>
      </c>
      <c r="BB27" s="71">
        <f t="shared" si="10"/>
        <v>0</v>
      </c>
      <c r="BC27" s="71">
        <f t="shared" si="11"/>
        <v>0</v>
      </c>
      <c r="BD27" s="71">
        <f t="shared" si="12"/>
        <v>1</v>
      </c>
      <c r="BE27" s="71">
        <f t="shared" si="13"/>
        <v>0</v>
      </c>
      <c r="BF27" s="72">
        <f t="shared" si="14"/>
        <v>0</v>
      </c>
      <c r="BG27" s="45"/>
      <c r="BH27" s="56">
        <f t="shared" si="15"/>
        <v>0.16666666666666663</v>
      </c>
      <c r="BI27" s="67" t="str">
        <f t="shared" si="16"/>
        <v/>
      </c>
      <c r="BJ27" s="68" t="str">
        <f t="shared" si="17"/>
        <v/>
      </c>
      <c r="BK27" s="68" t="str">
        <f t="shared" si="18"/>
        <v/>
      </c>
      <c r="BL27" s="68" t="str">
        <f t="shared" si="19"/>
        <v/>
      </c>
      <c r="BM27" s="68">
        <f t="shared" si="20"/>
        <v>37.200000000000003</v>
      </c>
      <c r="BN27" s="68" t="str">
        <f t="shared" si="21"/>
        <v/>
      </c>
      <c r="BO27" s="69" t="str">
        <f t="shared" si="22"/>
        <v/>
      </c>
      <c r="BP27" s="63"/>
      <c r="BQ27" s="64">
        <f t="shared" si="23"/>
        <v>0.16666666666666663</v>
      </c>
      <c r="BR27" s="67" t="str">
        <f t="shared" si="24"/>
        <v/>
      </c>
      <c r="BS27" s="68" t="str">
        <f t="shared" si="25"/>
        <v/>
      </c>
      <c r="BT27" s="68" t="str">
        <f t="shared" si="26"/>
        <v/>
      </c>
      <c r="BU27" s="68" t="str">
        <f t="shared" si="27"/>
        <v/>
      </c>
      <c r="BV27" s="68" t="str">
        <f t="shared" si="28"/>
        <v/>
      </c>
      <c r="BW27" s="68" t="str">
        <f t="shared" si="29"/>
        <v/>
      </c>
      <c r="BX27" s="69" t="str">
        <f t="shared" si="30"/>
        <v/>
      </c>
      <c r="BY27" s="65"/>
      <c r="BZ27" s="66">
        <f t="shared" si="43"/>
        <v>37.200000000000003</v>
      </c>
      <c r="CA27" s="414" t="e">
        <f t="shared" si="31"/>
        <v>#N/A</v>
      </c>
      <c r="CB27" s="416">
        <f t="shared" si="48"/>
        <v>60</v>
      </c>
      <c r="CC27" s="65"/>
      <c r="CD27" s="67">
        <f t="shared" si="32"/>
        <v>0</v>
      </c>
      <c r="CE27" s="68">
        <f t="shared" si="33"/>
        <v>0</v>
      </c>
      <c r="CF27" s="68">
        <f t="shared" si="34"/>
        <v>0</v>
      </c>
      <c r="CG27" s="68">
        <f t="shared" si="35"/>
        <v>0</v>
      </c>
      <c r="CH27" s="68">
        <f t="shared" si="36"/>
        <v>0</v>
      </c>
      <c r="CI27" s="68">
        <f t="shared" si="37"/>
        <v>0</v>
      </c>
      <c r="CJ27" s="69">
        <f t="shared" si="38"/>
        <v>0</v>
      </c>
      <c r="CM27" s="67" t="str">
        <f t="shared" si="44"/>
        <v/>
      </c>
      <c r="CN27" s="68" t="str">
        <f t="shared" ref="CN27:CN90" si="49">IFERROR(BA27*BJ27,"")</f>
        <v/>
      </c>
      <c r="CO27" s="68" t="str">
        <f t="shared" ref="CO27:CO90" si="50">IFERROR(BB27*BK27,"")</f>
        <v/>
      </c>
      <c r="CP27" s="68" t="str">
        <f t="shared" ref="CP27:CP90" si="51">IFERROR(BC27*BL27,"")</f>
        <v/>
      </c>
      <c r="CQ27" s="68">
        <f t="shared" ref="CQ27:CQ90" si="52">IFERROR(BD27*BM27,"")</f>
        <v>37.200000000000003</v>
      </c>
      <c r="CR27" s="68" t="str">
        <f t="shared" ref="CR27:CR90" si="53">IFERROR(BE27*BN27,"")</f>
        <v/>
      </c>
      <c r="CS27" s="69" t="str">
        <f t="shared" ref="CS27:CS90" si="54">IFERROR(BF27*BO27,"")</f>
        <v/>
      </c>
      <c r="CU27" s="511">
        <f>SUM(SUMIF($AZ$8:$BF$8, {"NON";"NEUT"}, AZ27:BF27))/config!$AC$16</f>
        <v>0</v>
      </c>
      <c r="CV27" s="512">
        <f t="shared" si="45"/>
        <v>0.16666666666666663</v>
      </c>
      <c r="CY27" s="67">
        <f>SUM(C31*$CY$108, C138*$CY$109, C245*$CY$110, C352*$CY$111, C459*$CY$112, C566*$CY$113, C673*$CY$114)/config!$AC$16</f>
        <v>0</v>
      </c>
      <c r="CZ27" s="68">
        <f>SUM(SUM(D31:E31)*$CY$108, SUM(D138:E138)*$CY$109, SUM(D245:E245)*$CY$110, SUM(D352:E352)*$CY$111, SUM(D459:E459)*$CY$112, SUM(D566:E566)*$CY$113, SUM(D673:E673)*$CY$114)/config!$AC$16</f>
        <v>0</v>
      </c>
      <c r="DA27" s="68">
        <f>SUM(SUM(F31:G31)*$CY$108, SUM(F138:G138)*$CY$109, SUM(F245:G245)*$CY$110, SUM(F352:G352)*$CY$111, SUM(F459:G459)*$CY$112, SUM(F566:G566)*$CY$113, SUM(F673:G673)*$CY$114)/config!$AC$16</f>
        <v>0</v>
      </c>
      <c r="DB27" s="68">
        <f>SUM(H31*$CY$108, H138*$CY$109, H245*$CY$110, H352*$CY$111, H459*$CY$112, H566*$CY$113, H673*$CY$114)/config!$AC$16</f>
        <v>0</v>
      </c>
      <c r="DC27" s="69">
        <f>SUM(SUM(I31:L31)*$CY$108, SUM(I138:L138)*$CY$109, SUM(I245:L245)*$CY$110, SUM(I352:L352)*$CY$111, SUM(I459:L459)*$CY$112, SUM(I566:L566)*$CY$113, SUM(I673:L673)*$CY$114)/config!$AC$16</f>
        <v>0</v>
      </c>
    </row>
    <row r="28" spans="1:107" ht="15" x14ac:dyDescent="0.25">
      <c r="A28" s="440" t="s">
        <v>59</v>
      </c>
      <c r="B28" s="642">
        <v>0</v>
      </c>
      <c r="C28" s="184">
        <v>0</v>
      </c>
      <c r="D28" s="184">
        <v>0</v>
      </c>
      <c r="E28" s="184">
        <v>0</v>
      </c>
      <c r="F28" s="184">
        <v>0</v>
      </c>
      <c r="G28" s="184">
        <v>0</v>
      </c>
      <c r="H28" s="184">
        <v>0</v>
      </c>
      <c r="I28" s="184">
        <v>0</v>
      </c>
      <c r="J28" s="184">
        <v>0</v>
      </c>
      <c r="K28" s="184">
        <v>0</v>
      </c>
      <c r="L28" s="184">
        <v>0</v>
      </c>
      <c r="M28" s="654" t="s">
        <v>24</v>
      </c>
      <c r="N28" s="670" t="s">
        <v>59</v>
      </c>
      <c r="O28" s="642">
        <v>0</v>
      </c>
      <c r="P28" s="184">
        <v>0</v>
      </c>
      <c r="Q28" s="184">
        <v>0</v>
      </c>
      <c r="R28" s="184">
        <v>0</v>
      </c>
      <c r="S28" s="184">
        <v>0</v>
      </c>
      <c r="T28" s="184">
        <v>0</v>
      </c>
      <c r="U28" s="184">
        <v>0</v>
      </c>
      <c r="V28" s="184">
        <v>0</v>
      </c>
      <c r="W28" s="184">
        <v>0</v>
      </c>
      <c r="X28" s="184">
        <v>0</v>
      </c>
      <c r="Y28" s="184">
        <v>0</v>
      </c>
      <c r="Z28" s="184">
        <v>0</v>
      </c>
      <c r="AA28" s="184">
        <v>0</v>
      </c>
      <c r="AB28" s="184">
        <v>0</v>
      </c>
      <c r="AC28" s="185" t="s">
        <v>24</v>
      </c>
      <c r="AD28" s="185" t="s">
        <v>24</v>
      </c>
      <c r="AE28" s="184">
        <v>0</v>
      </c>
      <c r="AF28" s="185">
        <v>0</v>
      </c>
      <c r="AG28" s="184">
        <v>0</v>
      </c>
      <c r="AH28" s="185">
        <v>0</v>
      </c>
      <c r="AI28" s="184">
        <v>0</v>
      </c>
      <c r="AJ28" s="643">
        <v>0</v>
      </c>
      <c r="AP28" s="401">
        <f t="shared" si="40"/>
        <v>1</v>
      </c>
      <c r="AR28" s="56">
        <f t="shared" si="41"/>
        <v>0.17708333333333329</v>
      </c>
      <c r="AS28" s="67">
        <f>SUM(C32,C139,C246,C353,C460,C567,C674)/config!$AC$13</f>
        <v>0</v>
      </c>
      <c r="AT28" s="68">
        <f>SUM(D32:E32,D139:E139,D246:E246,D353:E353,D460:E460,D567:E567,D674:E674)/config!$AC$13</f>
        <v>0</v>
      </c>
      <c r="AU28" s="68">
        <f>SUM(F32:G32,F139:G139,F246:G246,F353:G353,F460:G460,F567:G567,F674:G674)/config!$AC$13</f>
        <v>0.14285714285714285</v>
      </c>
      <c r="AV28" s="68">
        <f>SUM(H32,H139,H246,H353,H460,H567,H674)/config!$AC$13</f>
        <v>0</v>
      </c>
      <c r="AW28" s="69">
        <f>SUM(I32:L32,I139:L139,I246:L246,I353:L353,I460:L460,I567:L567,I674:L674)/config!$AC$13</f>
        <v>0</v>
      </c>
      <c r="AY28" s="56">
        <f t="shared" si="42"/>
        <v>0.17708333333333329</v>
      </c>
      <c r="AZ28" s="70">
        <f t="shared" si="8"/>
        <v>0</v>
      </c>
      <c r="BA28" s="71">
        <f t="shared" si="9"/>
        <v>0</v>
      </c>
      <c r="BB28" s="71">
        <f t="shared" si="10"/>
        <v>0</v>
      </c>
      <c r="BC28" s="71">
        <f t="shared" si="11"/>
        <v>0</v>
      </c>
      <c r="BD28" s="71">
        <f t="shared" si="12"/>
        <v>0</v>
      </c>
      <c r="BE28" s="71">
        <f t="shared" si="13"/>
        <v>0</v>
      </c>
      <c r="BF28" s="72">
        <f t="shared" si="14"/>
        <v>1</v>
      </c>
      <c r="BG28" s="45"/>
      <c r="BH28" s="56">
        <f t="shared" si="15"/>
        <v>0.17708333333333329</v>
      </c>
      <c r="BI28" s="67" t="str">
        <f t="shared" si="16"/>
        <v/>
      </c>
      <c r="BJ28" s="68" t="str">
        <f t="shared" si="17"/>
        <v/>
      </c>
      <c r="BK28" s="68" t="str">
        <f t="shared" si="18"/>
        <v/>
      </c>
      <c r="BL28" s="68" t="str">
        <f t="shared" si="19"/>
        <v/>
      </c>
      <c r="BM28" s="68" t="str">
        <f t="shared" si="20"/>
        <v/>
      </c>
      <c r="BN28" s="68" t="str">
        <f t="shared" si="21"/>
        <v/>
      </c>
      <c r="BO28" s="69">
        <f t="shared" si="22"/>
        <v>49.2</v>
      </c>
      <c r="BP28" s="63"/>
      <c r="BQ28" s="64">
        <f t="shared" si="23"/>
        <v>0.17708333333333329</v>
      </c>
      <c r="BR28" s="67" t="str">
        <f t="shared" si="24"/>
        <v/>
      </c>
      <c r="BS28" s="68" t="str">
        <f t="shared" si="25"/>
        <v/>
      </c>
      <c r="BT28" s="68" t="str">
        <f t="shared" si="26"/>
        <v/>
      </c>
      <c r="BU28" s="68" t="str">
        <f t="shared" si="27"/>
        <v/>
      </c>
      <c r="BV28" s="68" t="str">
        <f t="shared" si="28"/>
        <v/>
      </c>
      <c r="BW28" s="68" t="str">
        <f t="shared" si="29"/>
        <v/>
      </c>
      <c r="BX28" s="69" t="str">
        <f t="shared" si="30"/>
        <v/>
      </c>
      <c r="BY28" s="65"/>
      <c r="BZ28" s="66">
        <f t="shared" si="43"/>
        <v>49.2</v>
      </c>
      <c r="CA28" s="414" t="e">
        <f t="shared" si="31"/>
        <v>#N/A</v>
      </c>
      <c r="CB28" s="416">
        <f t="shared" si="48"/>
        <v>60</v>
      </c>
      <c r="CC28" s="65"/>
      <c r="CD28" s="67">
        <f t="shared" si="32"/>
        <v>0</v>
      </c>
      <c r="CE28" s="68">
        <f t="shared" si="33"/>
        <v>0</v>
      </c>
      <c r="CF28" s="68">
        <f t="shared" si="34"/>
        <v>0</v>
      </c>
      <c r="CG28" s="68">
        <f t="shared" si="35"/>
        <v>0</v>
      </c>
      <c r="CH28" s="68">
        <f t="shared" si="36"/>
        <v>0</v>
      </c>
      <c r="CI28" s="68">
        <f t="shared" si="37"/>
        <v>0</v>
      </c>
      <c r="CJ28" s="69">
        <f t="shared" si="38"/>
        <v>0</v>
      </c>
      <c r="CM28" s="67" t="str">
        <f t="shared" si="44"/>
        <v/>
      </c>
      <c r="CN28" s="68" t="str">
        <f t="shared" si="49"/>
        <v/>
      </c>
      <c r="CO28" s="68" t="str">
        <f t="shared" si="50"/>
        <v/>
      </c>
      <c r="CP28" s="68" t="str">
        <f t="shared" si="51"/>
        <v/>
      </c>
      <c r="CQ28" s="68" t="str">
        <f t="shared" si="52"/>
        <v/>
      </c>
      <c r="CR28" s="68" t="str">
        <f t="shared" si="53"/>
        <v/>
      </c>
      <c r="CS28" s="69">
        <f t="shared" si="54"/>
        <v>49.2</v>
      </c>
      <c r="CU28" s="511">
        <f>SUM(SUMIF($AZ$8:$BF$8, {"NON";"NEUT"}, AZ28:BF28))/config!$AC$16</f>
        <v>0.2</v>
      </c>
      <c r="CV28" s="512">
        <f t="shared" si="45"/>
        <v>0.17708333333333329</v>
      </c>
      <c r="CY28" s="67">
        <f>SUM(C32*$CY$108, C139*$CY$109, C246*$CY$110, C353*$CY$111, C460*$CY$112, C567*$CY$113, C674*$CY$114)/config!$AC$16</f>
        <v>0</v>
      </c>
      <c r="CZ28" s="68">
        <f>SUM(SUM(D32:E32)*$CY$108, SUM(D139:E139)*$CY$109, SUM(D246:E246)*$CY$110, SUM(D353:E353)*$CY$111, SUM(D460:E460)*$CY$112, SUM(D567:E567)*$CY$113, SUM(D674:E674)*$CY$114)/config!$AC$16</f>
        <v>0</v>
      </c>
      <c r="DA28" s="68">
        <f>SUM(SUM(F32:G32)*$CY$108, SUM(F139:G139)*$CY$109, SUM(F246:G246)*$CY$110, SUM(F353:G353)*$CY$111, SUM(F460:G460)*$CY$112, SUM(F567:G567)*$CY$113, SUM(F674:G674)*$CY$114)/config!$AC$16</f>
        <v>0.2</v>
      </c>
      <c r="DB28" s="68">
        <f>SUM(H32*$CY$108, H139*$CY$109, H246*$CY$110, H353*$CY$111, H460*$CY$112, H567*$CY$113, H674*$CY$114)/config!$AC$16</f>
        <v>0</v>
      </c>
      <c r="DC28" s="69">
        <f>SUM(SUM(I32:L32)*$CY$108, SUM(I139:L139)*$CY$109, SUM(I246:L246)*$CY$110, SUM(I353:L353)*$CY$111, SUM(I460:L460)*$CY$112, SUM(I567:L567)*$CY$113, SUM(I674:L674)*$CY$114)/config!$AC$16</f>
        <v>0</v>
      </c>
    </row>
    <row r="29" spans="1:107" ht="15" x14ac:dyDescent="0.25">
      <c r="A29" s="440" t="s">
        <v>61</v>
      </c>
      <c r="B29" s="642">
        <v>0</v>
      </c>
      <c r="C29" s="184">
        <v>0</v>
      </c>
      <c r="D29" s="184">
        <v>0</v>
      </c>
      <c r="E29" s="184">
        <v>0</v>
      </c>
      <c r="F29" s="184">
        <v>0</v>
      </c>
      <c r="G29" s="184">
        <v>0</v>
      </c>
      <c r="H29" s="184">
        <v>0</v>
      </c>
      <c r="I29" s="184">
        <v>0</v>
      </c>
      <c r="J29" s="184">
        <v>0</v>
      </c>
      <c r="K29" s="184">
        <v>0</v>
      </c>
      <c r="L29" s="184">
        <v>0</v>
      </c>
      <c r="M29" s="654" t="s">
        <v>24</v>
      </c>
      <c r="N29" s="670" t="s">
        <v>61</v>
      </c>
      <c r="O29" s="642">
        <v>0</v>
      </c>
      <c r="P29" s="184">
        <v>0</v>
      </c>
      <c r="Q29" s="184">
        <v>0</v>
      </c>
      <c r="R29" s="184">
        <v>0</v>
      </c>
      <c r="S29" s="184">
        <v>0</v>
      </c>
      <c r="T29" s="184">
        <v>0</v>
      </c>
      <c r="U29" s="184">
        <v>0</v>
      </c>
      <c r="V29" s="184">
        <v>0</v>
      </c>
      <c r="W29" s="184">
        <v>0</v>
      </c>
      <c r="X29" s="184">
        <v>0</v>
      </c>
      <c r="Y29" s="184">
        <v>0</v>
      </c>
      <c r="Z29" s="184">
        <v>0</v>
      </c>
      <c r="AA29" s="184">
        <v>0</v>
      </c>
      <c r="AB29" s="184">
        <v>0</v>
      </c>
      <c r="AC29" s="185" t="s">
        <v>24</v>
      </c>
      <c r="AD29" s="185" t="s">
        <v>24</v>
      </c>
      <c r="AE29" s="184">
        <v>0</v>
      </c>
      <c r="AF29" s="185">
        <v>0</v>
      </c>
      <c r="AG29" s="184">
        <v>0</v>
      </c>
      <c r="AH29" s="185">
        <v>0</v>
      </c>
      <c r="AI29" s="184">
        <v>0</v>
      </c>
      <c r="AJ29" s="643">
        <v>0</v>
      </c>
      <c r="AP29" s="401">
        <f t="shared" si="40"/>
        <v>1</v>
      </c>
      <c r="AR29" s="56">
        <f t="shared" si="41"/>
        <v>0.18749999999999994</v>
      </c>
      <c r="AS29" s="67">
        <f>SUM(C33,C140,C247,C354,C461,C568,C675)/config!$AC$13</f>
        <v>0</v>
      </c>
      <c r="AT29" s="68">
        <f>SUM(D33:E33,D140:E140,D247:E247,D354:E354,D461:E461,D568:E568,D675:E675)/config!$AC$13</f>
        <v>0.14285714285714285</v>
      </c>
      <c r="AU29" s="68">
        <f>SUM(F33:G33,F140:G140,F247:G247,F354:G354,F461:G461,F568:G568,F675:G675)/config!$AC$13</f>
        <v>0.14285714285714285</v>
      </c>
      <c r="AV29" s="68">
        <f>SUM(H33,H140,H247,H354,H461,H568,H675)/config!$AC$13</f>
        <v>0</v>
      </c>
      <c r="AW29" s="69">
        <f>SUM(I33:L33,I140:L140,I247:L247,I354:L354,I461:L461,I568:L568,I675:L675)/config!$AC$13</f>
        <v>0</v>
      </c>
      <c r="AY29" s="56">
        <f t="shared" si="42"/>
        <v>0.18749999999999994</v>
      </c>
      <c r="AZ29" s="70">
        <f t="shared" si="8"/>
        <v>0</v>
      </c>
      <c r="BA29" s="71">
        <f t="shared" si="9"/>
        <v>0</v>
      </c>
      <c r="BB29" s="71">
        <f t="shared" si="10"/>
        <v>0</v>
      </c>
      <c r="BC29" s="71">
        <f t="shared" si="11"/>
        <v>1</v>
      </c>
      <c r="BD29" s="71">
        <f t="shared" si="12"/>
        <v>0</v>
      </c>
      <c r="BE29" s="71">
        <f t="shared" si="13"/>
        <v>1</v>
      </c>
      <c r="BF29" s="72">
        <f t="shared" si="14"/>
        <v>0</v>
      </c>
      <c r="BG29" s="45"/>
      <c r="BH29" s="56">
        <f t="shared" si="15"/>
        <v>0.18749999999999994</v>
      </c>
      <c r="BI29" s="67" t="str">
        <f t="shared" si="16"/>
        <v/>
      </c>
      <c r="BJ29" s="68" t="str">
        <f t="shared" si="17"/>
        <v/>
      </c>
      <c r="BK29" s="68" t="str">
        <f t="shared" si="18"/>
        <v/>
      </c>
      <c r="BL29" s="68">
        <f t="shared" si="19"/>
        <v>40.200000000000003</v>
      </c>
      <c r="BM29" s="68" t="str">
        <f t="shared" si="20"/>
        <v/>
      </c>
      <c r="BN29" s="68">
        <f t="shared" si="21"/>
        <v>42.7</v>
      </c>
      <c r="BO29" s="69" t="str">
        <f t="shared" si="22"/>
        <v/>
      </c>
      <c r="BP29" s="63"/>
      <c r="BQ29" s="64">
        <f t="shared" si="23"/>
        <v>0.18749999999999994</v>
      </c>
      <c r="BR29" s="67" t="str">
        <f t="shared" si="24"/>
        <v/>
      </c>
      <c r="BS29" s="68" t="str">
        <f t="shared" si="25"/>
        <v/>
      </c>
      <c r="BT29" s="68" t="str">
        <f t="shared" si="26"/>
        <v/>
      </c>
      <c r="BU29" s="68" t="str">
        <f t="shared" si="27"/>
        <v/>
      </c>
      <c r="BV29" s="68" t="str">
        <f t="shared" si="28"/>
        <v/>
      </c>
      <c r="BW29" s="68" t="str">
        <f t="shared" si="29"/>
        <v/>
      </c>
      <c r="BX29" s="69" t="str">
        <f t="shared" si="30"/>
        <v/>
      </c>
      <c r="BY29" s="65"/>
      <c r="BZ29" s="66">
        <f t="shared" si="43"/>
        <v>41.45</v>
      </c>
      <c r="CA29" s="414" t="e">
        <f t="shared" si="31"/>
        <v>#N/A</v>
      </c>
      <c r="CB29" s="416">
        <f t="shared" si="48"/>
        <v>60</v>
      </c>
      <c r="CC29" s="65"/>
      <c r="CD29" s="67">
        <f t="shared" si="32"/>
        <v>0</v>
      </c>
      <c r="CE29" s="68">
        <f t="shared" si="33"/>
        <v>0</v>
      </c>
      <c r="CF29" s="68">
        <f t="shared" si="34"/>
        <v>0</v>
      </c>
      <c r="CG29" s="68">
        <f t="shared" si="35"/>
        <v>0</v>
      </c>
      <c r="CH29" s="68">
        <f t="shared" si="36"/>
        <v>0</v>
      </c>
      <c r="CI29" s="68">
        <f t="shared" si="37"/>
        <v>0</v>
      </c>
      <c r="CJ29" s="69">
        <f t="shared" si="38"/>
        <v>0</v>
      </c>
      <c r="CM29" s="67" t="str">
        <f t="shared" si="44"/>
        <v/>
      </c>
      <c r="CN29" s="68" t="str">
        <f t="shared" si="49"/>
        <v/>
      </c>
      <c r="CO29" s="68" t="str">
        <f t="shared" si="50"/>
        <v/>
      </c>
      <c r="CP29" s="68">
        <f t="shared" si="51"/>
        <v>40.200000000000003</v>
      </c>
      <c r="CQ29" s="68" t="str">
        <f t="shared" si="52"/>
        <v/>
      </c>
      <c r="CR29" s="68">
        <f t="shared" si="53"/>
        <v>42.7</v>
      </c>
      <c r="CS29" s="69" t="str">
        <f t="shared" si="54"/>
        <v/>
      </c>
      <c r="CU29" s="511">
        <f>SUM(SUMIF($AZ$8:$BF$8, {"NON";"NEUT"}, AZ29:BF29))/config!$AC$16</f>
        <v>0.2</v>
      </c>
      <c r="CV29" s="512">
        <f t="shared" si="45"/>
        <v>0.18749999999999994</v>
      </c>
      <c r="CY29" s="67">
        <f>SUM(C33*$CY$108, C140*$CY$109, C247*$CY$110, C354*$CY$111, C461*$CY$112, C568*$CY$113, C675*$CY$114)/config!$AC$16</f>
        <v>0</v>
      </c>
      <c r="CZ29" s="68">
        <f>SUM(SUM(D33:E33)*$CY$108, SUM(D140:E140)*$CY$109, SUM(D247:E247)*$CY$110, SUM(D354:E354)*$CY$111, SUM(D461:E461)*$CY$112, SUM(D568:E568)*$CY$113, SUM(D675:E675)*$CY$114)/config!$AC$16</f>
        <v>0</v>
      </c>
      <c r="DA29" s="68">
        <f>SUM(SUM(F33:G33)*$CY$108, SUM(F140:G140)*$CY$109, SUM(F247:G247)*$CY$110, SUM(F354:G354)*$CY$111, SUM(F461:G461)*$CY$112, SUM(F568:G568)*$CY$113, SUM(F675:G675)*$CY$114)/config!$AC$16</f>
        <v>0.2</v>
      </c>
      <c r="DB29" s="68">
        <f>SUM(H33*$CY$108, H140*$CY$109, H247*$CY$110, H354*$CY$111, H461*$CY$112, H568*$CY$113, H675*$CY$114)/config!$AC$16</f>
        <v>0</v>
      </c>
      <c r="DC29" s="69">
        <f>SUM(SUM(I33:L33)*$CY$108, SUM(I140:L140)*$CY$109, SUM(I247:L247)*$CY$110, SUM(I354:L354)*$CY$111, SUM(I461:L461)*$CY$112, SUM(I568:L568)*$CY$113, SUM(I675:L675)*$CY$114)/config!$AC$16</f>
        <v>0</v>
      </c>
    </row>
    <row r="30" spans="1:107" ht="15" x14ac:dyDescent="0.25">
      <c r="A30" s="440" t="s">
        <v>63</v>
      </c>
      <c r="B30" s="642">
        <v>0</v>
      </c>
      <c r="C30" s="184">
        <v>0</v>
      </c>
      <c r="D30" s="184">
        <v>0</v>
      </c>
      <c r="E30" s="184">
        <v>0</v>
      </c>
      <c r="F30" s="184">
        <v>0</v>
      </c>
      <c r="G30" s="184">
        <v>0</v>
      </c>
      <c r="H30" s="184">
        <v>0</v>
      </c>
      <c r="I30" s="184">
        <v>0</v>
      </c>
      <c r="J30" s="184">
        <v>0</v>
      </c>
      <c r="K30" s="184">
        <v>0</v>
      </c>
      <c r="L30" s="184">
        <v>0</v>
      </c>
      <c r="M30" s="654" t="s">
        <v>24</v>
      </c>
      <c r="N30" s="670" t="s">
        <v>63</v>
      </c>
      <c r="O30" s="642">
        <v>0</v>
      </c>
      <c r="P30" s="184">
        <v>0</v>
      </c>
      <c r="Q30" s="184">
        <v>0</v>
      </c>
      <c r="R30" s="184">
        <v>0</v>
      </c>
      <c r="S30" s="184">
        <v>0</v>
      </c>
      <c r="T30" s="184">
        <v>0</v>
      </c>
      <c r="U30" s="184">
        <v>0</v>
      </c>
      <c r="V30" s="184">
        <v>0</v>
      </c>
      <c r="W30" s="184">
        <v>0</v>
      </c>
      <c r="X30" s="184">
        <v>0</v>
      </c>
      <c r="Y30" s="184">
        <v>0</v>
      </c>
      <c r="Z30" s="184">
        <v>0</v>
      </c>
      <c r="AA30" s="184">
        <v>0</v>
      </c>
      <c r="AB30" s="184">
        <v>0</v>
      </c>
      <c r="AC30" s="185" t="s">
        <v>24</v>
      </c>
      <c r="AD30" s="185" t="s">
        <v>24</v>
      </c>
      <c r="AE30" s="184">
        <v>0</v>
      </c>
      <c r="AF30" s="185">
        <v>0</v>
      </c>
      <c r="AG30" s="184">
        <v>0</v>
      </c>
      <c r="AH30" s="185">
        <v>0</v>
      </c>
      <c r="AI30" s="184">
        <v>0</v>
      </c>
      <c r="AJ30" s="643">
        <v>0</v>
      </c>
      <c r="AP30" s="401">
        <f t="shared" si="40"/>
        <v>0</v>
      </c>
      <c r="AR30" s="56">
        <f t="shared" si="41"/>
        <v>0.1979166666666666</v>
      </c>
      <c r="AS30" s="67">
        <f>SUM(C34,C141,C248,C355,C462,C569,C676)/config!$AC$13</f>
        <v>0</v>
      </c>
      <c r="AT30" s="68">
        <f>SUM(D34:E34,D141:E141,D248:E248,D355:E355,D462:E462,D569:E569,D676:E676)/config!$AC$13</f>
        <v>0.5714285714285714</v>
      </c>
      <c r="AU30" s="68">
        <f>SUM(F34:G34,F141:G141,F248:G248,F355:G355,F462:G462,F569:G569,F676:G676)/config!$AC$13</f>
        <v>0</v>
      </c>
      <c r="AV30" s="68">
        <f>SUM(H34,H141,H248,H355,H462,H569,H676)/config!$AC$13</f>
        <v>0</v>
      </c>
      <c r="AW30" s="69">
        <f>SUM(I34:L34,I141:L141,I248:L248,I355:L355,I462:L462,I569:L569,I676:L676)/config!$AC$13</f>
        <v>0</v>
      </c>
      <c r="AY30" s="56">
        <f t="shared" si="42"/>
        <v>0.1979166666666666</v>
      </c>
      <c r="AZ30" s="70">
        <f t="shared" si="8"/>
        <v>0</v>
      </c>
      <c r="BA30" s="71">
        <f t="shared" si="9"/>
        <v>1</v>
      </c>
      <c r="BB30" s="71">
        <f t="shared" si="10"/>
        <v>1</v>
      </c>
      <c r="BC30" s="71">
        <f t="shared" si="11"/>
        <v>1</v>
      </c>
      <c r="BD30" s="71">
        <f t="shared" si="12"/>
        <v>0</v>
      </c>
      <c r="BE30" s="71">
        <f t="shared" si="13"/>
        <v>1</v>
      </c>
      <c r="BF30" s="72">
        <f t="shared" si="14"/>
        <v>0</v>
      </c>
      <c r="BG30" s="45"/>
      <c r="BH30" s="56">
        <f t="shared" si="15"/>
        <v>0.1979166666666666</v>
      </c>
      <c r="BI30" s="67" t="str">
        <f t="shared" si="16"/>
        <v/>
      </c>
      <c r="BJ30" s="68">
        <f t="shared" si="17"/>
        <v>42</v>
      </c>
      <c r="BK30" s="68">
        <f t="shared" si="18"/>
        <v>42.6</v>
      </c>
      <c r="BL30" s="68">
        <f t="shared" si="19"/>
        <v>58.2</v>
      </c>
      <c r="BM30" s="68" t="str">
        <f t="shared" si="20"/>
        <v/>
      </c>
      <c r="BN30" s="68">
        <f t="shared" si="21"/>
        <v>49.3</v>
      </c>
      <c r="BO30" s="69" t="str">
        <f t="shared" si="22"/>
        <v/>
      </c>
      <c r="BP30" s="63"/>
      <c r="BQ30" s="64">
        <f t="shared" si="23"/>
        <v>0.1979166666666666</v>
      </c>
      <c r="BR30" s="67" t="str">
        <f t="shared" si="24"/>
        <v/>
      </c>
      <c r="BS30" s="68" t="str">
        <f t="shared" si="25"/>
        <v/>
      </c>
      <c r="BT30" s="68" t="str">
        <f t="shared" si="26"/>
        <v/>
      </c>
      <c r="BU30" s="68" t="str">
        <f t="shared" si="27"/>
        <v/>
      </c>
      <c r="BV30" s="68" t="str">
        <f t="shared" si="28"/>
        <v/>
      </c>
      <c r="BW30" s="68" t="str">
        <f t="shared" si="29"/>
        <v/>
      </c>
      <c r="BX30" s="69" t="str">
        <f t="shared" si="30"/>
        <v/>
      </c>
      <c r="BY30" s="65"/>
      <c r="BZ30" s="66">
        <f t="shared" si="43"/>
        <v>48.025000000000006</v>
      </c>
      <c r="CA30" s="414" t="e">
        <f t="shared" si="31"/>
        <v>#N/A</v>
      </c>
      <c r="CB30" s="416">
        <f t="shared" si="48"/>
        <v>60</v>
      </c>
      <c r="CC30" s="65"/>
      <c r="CD30" s="67">
        <f t="shared" si="32"/>
        <v>0</v>
      </c>
      <c r="CE30" s="68">
        <f t="shared" si="33"/>
        <v>0</v>
      </c>
      <c r="CF30" s="68">
        <f t="shared" si="34"/>
        <v>0</v>
      </c>
      <c r="CG30" s="68">
        <f t="shared" si="35"/>
        <v>0</v>
      </c>
      <c r="CH30" s="68">
        <f t="shared" si="36"/>
        <v>0</v>
      </c>
      <c r="CI30" s="68">
        <f t="shared" si="37"/>
        <v>0</v>
      </c>
      <c r="CJ30" s="69">
        <f t="shared" si="38"/>
        <v>0</v>
      </c>
      <c r="CM30" s="67" t="str">
        <f t="shared" si="44"/>
        <v/>
      </c>
      <c r="CN30" s="68">
        <f t="shared" si="49"/>
        <v>42</v>
      </c>
      <c r="CO30" s="68">
        <f t="shared" si="50"/>
        <v>42.6</v>
      </c>
      <c r="CP30" s="68">
        <f t="shared" si="51"/>
        <v>58.2</v>
      </c>
      <c r="CQ30" s="68" t="str">
        <f t="shared" si="52"/>
        <v/>
      </c>
      <c r="CR30" s="68">
        <f t="shared" si="53"/>
        <v>49.3</v>
      </c>
      <c r="CS30" s="69" t="str">
        <f t="shared" si="54"/>
        <v/>
      </c>
      <c r="CU30" s="511">
        <f>SUM(SUMIF($AZ$8:$BF$8, {"NON";"NEUT"}, AZ30:BF30))/config!$AC$16</f>
        <v>0.6</v>
      </c>
      <c r="CV30" s="512">
        <f t="shared" si="45"/>
        <v>0.1979166666666666</v>
      </c>
      <c r="CY30" s="67">
        <f>SUM(C34*$CY$108, C141*$CY$109, C248*$CY$110, C355*$CY$111, C462*$CY$112, C569*$CY$113, C676*$CY$114)/config!$AC$16</f>
        <v>0</v>
      </c>
      <c r="CZ30" s="68">
        <f>SUM(SUM(D34:E34)*$CY$108, SUM(D141:E141)*$CY$109, SUM(D248:E248)*$CY$110, SUM(D355:E355)*$CY$111, SUM(D462:E462)*$CY$112, SUM(D569:E569)*$CY$113, SUM(D676:E676)*$CY$114)/config!$AC$16</f>
        <v>0.6</v>
      </c>
      <c r="DA30" s="68">
        <f>SUM(SUM(F34:G34)*$CY$108, SUM(F141:G141)*$CY$109, SUM(F248:G248)*$CY$110, SUM(F355:G355)*$CY$111, SUM(F462:G462)*$CY$112, SUM(F569:G569)*$CY$113, SUM(F676:G676)*$CY$114)/config!$AC$16</f>
        <v>0</v>
      </c>
      <c r="DB30" s="68">
        <f>SUM(H34*$CY$108, H141*$CY$109, H248*$CY$110, H355*$CY$111, H462*$CY$112, H569*$CY$113, H676*$CY$114)/config!$AC$16</f>
        <v>0</v>
      </c>
      <c r="DC30" s="69">
        <f>SUM(SUM(I34:L34)*$CY$108, SUM(I141:L141)*$CY$109, SUM(I248:L248)*$CY$110, SUM(I355:L355)*$CY$111, SUM(I462:L462)*$CY$112, SUM(I569:L569)*$CY$113, SUM(I676:L676)*$CY$114)/config!$AC$16</f>
        <v>0</v>
      </c>
    </row>
    <row r="31" spans="1:107" ht="15" x14ac:dyDescent="0.25">
      <c r="A31" s="440" t="s">
        <v>44</v>
      </c>
      <c r="B31" s="642">
        <v>0</v>
      </c>
      <c r="C31" s="184">
        <v>0</v>
      </c>
      <c r="D31" s="184">
        <v>0</v>
      </c>
      <c r="E31" s="184">
        <v>0</v>
      </c>
      <c r="F31" s="184">
        <v>0</v>
      </c>
      <c r="G31" s="184">
        <v>0</v>
      </c>
      <c r="H31" s="184">
        <v>0</v>
      </c>
      <c r="I31" s="184">
        <v>0</v>
      </c>
      <c r="J31" s="184">
        <v>0</v>
      </c>
      <c r="K31" s="184">
        <v>0</v>
      </c>
      <c r="L31" s="184">
        <v>0</v>
      </c>
      <c r="M31" s="654" t="s">
        <v>24</v>
      </c>
      <c r="N31" s="670" t="s">
        <v>44</v>
      </c>
      <c r="O31" s="642">
        <v>0</v>
      </c>
      <c r="P31" s="184">
        <v>0</v>
      </c>
      <c r="Q31" s="184">
        <v>0</v>
      </c>
      <c r="R31" s="184">
        <v>0</v>
      </c>
      <c r="S31" s="184">
        <v>0</v>
      </c>
      <c r="T31" s="184">
        <v>0</v>
      </c>
      <c r="U31" s="184">
        <v>0</v>
      </c>
      <c r="V31" s="184">
        <v>0</v>
      </c>
      <c r="W31" s="184">
        <v>0</v>
      </c>
      <c r="X31" s="184">
        <v>0</v>
      </c>
      <c r="Y31" s="184">
        <v>0</v>
      </c>
      <c r="Z31" s="184">
        <v>0</v>
      </c>
      <c r="AA31" s="184">
        <v>0</v>
      </c>
      <c r="AB31" s="184">
        <v>0</v>
      </c>
      <c r="AC31" s="185" t="s">
        <v>24</v>
      </c>
      <c r="AD31" s="185" t="s">
        <v>24</v>
      </c>
      <c r="AE31" s="184">
        <v>0</v>
      </c>
      <c r="AF31" s="185">
        <v>0</v>
      </c>
      <c r="AG31" s="184">
        <v>0</v>
      </c>
      <c r="AH31" s="185">
        <v>0</v>
      </c>
      <c r="AI31" s="184">
        <v>0</v>
      </c>
      <c r="AJ31" s="643">
        <v>0</v>
      </c>
      <c r="AP31" s="401">
        <f t="shared" si="40"/>
        <v>0</v>
      </c>
      <c r="AR31" s="56">
        <f t="shared" si="41"/>
        <v>0.20833333333333326</v>
      </c>
      <c r="AS31" s="67">
        <f>SUM(C35,C142,C249,C356,C463,C570,C677)/config!$AC$13</f>
        <v>0</v>
      </c>
      <c r="AT31" s="68">
        <f>SUM(D35:E35,D142:E142,D249:E249,D356:E356,D463:E463,D570:E570,D677:E677)/config!$AC$13</f>
        <v>0.8571428571428571</v>
      </c>
      <c r="AU31" s="68">
        <f>SUM(F35:G35,F142:G142,F249:G249,F356:G356,F463:G463,F570:G570,F677:G677)/config!$AC$13</f>
        <v>0</v>
      </c>
      <c r="AV31" s="68">
        <f>SUM(H35,H142,H249,H356,H463,H570,H677)/config!$AC$13</f>
        <v>0</v>
      </c>
      <c r="AW31" s="69">
        <f>SUM(I35:L35,I142:L142,I249:L249,I356:L356,I463:L463,I570:L570,I677:L677)/config!$AC$13</f>
        <v>0</v>
      </c>
      <c r="AY31" s="56">
        <f t="shared" si="42"/>
        <v>0.20833333333333326</v>
      </c>
      <c r="AZ31" s="70">
        <f t="shared" si="8"/>
        <v>0</v>
      </c>
      <c r="BA31" s="71">
        <f t="shared" si="9"/>
        <v>0</v>
      </c>
      <c r="BB31" s="71">
        <f t="shared" si="10"/>
        <v>0</v>
      </c>
      <c r="BC31" s="71">
        <f t="shared" si="11"/>
        <v>2</v>
      </c>
      <c r="BD31" s="71">
        <f t="shared" si="12"/>
        <v>0</v>
      </c>
      <c r="BE31" s="71">
        <f t="shared" si="13"/>
        <v>2</v>
      </c>
      <c r="BF31" s="72">
        <f t="shared" si="14"/>
        <v>2</v>
      </c>
      <c r="BG31" s="45"/>
      <c r="BH31" s="56">
        <f t="shared" si="15"/>
        <v>0.20833333333333326</v>
      </c>
      <c r="BI31" s="67" t="str">
        <f t="shared" si="16"/>
        <v/>
      </c>
      <c r="BJ31" s="68" t="str">
        <f t="shared" si="17"/>
        <v/>
      </c>
      <c r="BK31" s="68" t="str">
        <f t="shared" si="18"/>
        <v/>
      </c>
      <c r="BL31" s="68">
        <f t="shared" si="19"/>
        <v>48.8</v>
      </c>
      <c r="BM31" s="68" t="str">
        <f t="shared" si="20"/>
        <v/>
      </c>
      <c r="BN31" s="68">
        <f t="shared" si="21"/>
        <v>38.299999999999997</v>
      </c>
      <c r="BO31" s="69">
        <f t="shared" si="22"/>
        <v>44.6</v>
      </c>
      <c r="BP31" s="63"/>
      <c r="BQ31" s="64">
        <f t="shared" si="23"/>
        <v>0.20833333333333326</v>
      </c>
      <c r="BR31" s="67" t="str">
        <f t="shared" si="24"/>
        <v/>
      </c>
      <c r="BS31" s="68" t="str">
        <f t="shared" si="25"/>
        <v/>
      </c>
      <c r="BT31" s="68" t="str">
        <f t="shared" si="26"/>
        <v/>
      </c>
      <c r="BU31" s="68" t="str">
        <f t="shared" si="27"/>
        <v/>
      </c>
      <c r="BV31" s="68" t="str">
        <f t="shared" si="28"/>
        <v/>
      </c>
      <c r="BW31" s="68" t="str">
        <f t="shared" si="29"/>
        <v/>
      </c>
      <c r="BX31" s="69" t="str">
        <f t="shared" si="30"/>
        <v/>
      </c>
      <c r="BY31" s="65"/>
      <c r="BZ31" s="66">
        <f t="shared" si="43"/>
        <v>43.9</v>
      </c>
      <c r="CA31" s="414" t="e">
        <f t="shared" si="31"/>
        <v>#N/A</v>
      </c>
      <c r="CB31" s="416">
        <f t="shared" si="48"/>
        <v>60</v>
      </c>
      <c r="CC31" s="65"/>
      <c r="CD31" s="67">
        <f t="shared" si="32"/>
        <v>0</v>
      </c>
      <c r="CE31" s="68">
        <f t="shared" si="33"/>
        <v>0</v>
      </c>
      <c r="CF31" s="68">
        <f t="shared" si="34"/>
        <v>0</v>
      </c>
      <c r="CG31" s="68">
        <f t="shared" si="35"/>
        <v>0</v>
      </c>
      <c r="CH31" s="68">
        <f t="shared" si="36"/>
        <v>0</v>
      </c>
      <c r="CI31" s="68">
        <f t="shared" si="37"/>
        <v>0</v>
      </c>
      <c r="CJ31" s="69">
        <f t="shared" si="38"/>
        <v>0</v>
      </c>
      <c r="CM31" s="67" t="str">
        <f t="shared" si="44"/>
        <v/>
      </c>
      <c r="CN31" s="68" t="str">
        <f t="shared" si="49"/>
        <v/>
      </c>
      <c r="CO31" s="68" t="str">
        <f t="shared" si="50"/>
        <v/>
      </c>
      <c r="CP31" s="68">
        <f t="shared" si="51"/>
        <v>97.6</v>
      </c>
      <c r="CQ31" s="68" t="str">
        <f t="shared" si="52"/>
        <v/>
      </c>
      <c r="CR31" s="68">
        <f t="shared" si="53"/>
        <v>76.599999999999994</v>
      </c>
      <c r="CS31" s="69">
        <f t="shared" si="54"/>
        <v>89.2</v>
      </c>
      <c r="CU31" s="511">
        <f>SUM(SUMIF($AZ$8:$BF$8, {"NON";"NEUT"}, AZ31:BF31))/config!$AC$16</f>
        <v>0.8</v>
      </c>
      <c r="CV31" s="512">
        <f t="shared" si="45"/>
        <v>0.20833333333333326</v>
      </c>
      <c r="CY31" s="67">
        <f>SUM(C35*$CY$108, C142*$CY$109, C249*$CY$110, C356*$CY$111, C463*$CY$112, C570*$CY$113, C677*$CY$114)/config!$AC$16</f>
        <v>0</v>
      </c>
      <c r="CZ31" s="68">
        <f>SUM(SUM(D35:E35)*$CY$108, SUM(D142:E142)*$CY$109, SUM(D249:E249)*$CY$110, SUM(D356:E356)*$CY$111, SUM(D463:E463)*$CY$112, SUM(D570:E570)*$CY$113, SUM(D677:E677)*$CY$114)/config!$AC$16</f>
        <v>0.8</v>
      </c>
      <c r="DA31" s="68">
        <f>SUM(SUM(F35:G35)*$CY$108, SUM(F142:G142)*$CY$109, SUM(F249:G249)*$CY$110, SUM(F356:G356)*$CY$111, SUM(F463:G463)*$CY$112, SUM(F570:G570)*$CY$113, SUM(F677:G677)*$CY$114)/config!$AC$16</f>
        <v>0</v>
      </c>
      <c r="DB31" s="68">
        <f>SUM(H35*$CY$108, H142*$CY$109, H249*$CY$110, H356*$CY$111, H463*$CY$112, H570*$CY$113, H677*$CY$114)/config!$AC$16</f>
        <v>0</v>
      </c>
      <c r="DC31" s="69">
        <f>SUM(SUM(I35:L35)*$CY$108, SUM(I142:L142)*$CY$109, SUM(I249:L249)*$CY$110, SUM(I356:L356)*$CY$111, SUM(I463:L463)*$CY$112, SUM(I570:L570)*$CY$113, SUM(I677:L677)*$CY$114)/config!$AC$16</f>
        <v>0</v>
      </c>
    </row>
    <row r="32" spans="1:107" ht="15" x14ac:dyDescent="0.25">
      <c r="A32" s="440" t="s">
        <v>66</v>
      </c>
      <c r="B32" s="642">
        <v>0</v>
      </c>
      <c r="C32" s="184">
        <v>0</v>
      </c>
      <c r="D32" s="184">
        <v>0</v>
      </c>
      <c r="E32" s="184">
        <v>0</v>
      </c>
      <c r="F32" s="184">
        <v>0</v>
      </c>
      <c r="G32" s="184">
        <v>0</v>
      </c>
      <c r="H32" s="184">
        <v>0</v>
      </c>
      <c r="I32" s="184">
        <v>0</v>
      </c>
      <c r="J32" s="184">
        <v>0</v>
      </c>
      <c r="K32" s="184">
        <v>0</v>
      </c>
      <c r="L32" s="184">
        <v>0</v>
      </c>
      <c r="M32" s="654" t="s">
        <v>24</v>
      </c>
      <c r="N32" s="670" t="s">
        <v>66</v>
      </c>
      <c r="O32" s="642">
        <v>0</v>
      </c>
      <c r="P32" s="184">
        <v>0</v>
      </c>
      <c r="Q32" s="184">
        <v>0</v>
      </c>
      <c r="R32" s="184">
        <v>0</v>
      </c>
      <c r="S32" s="184">
        <v>0</v>
      </c>
      <c r="T32" s="184">
        <v>0</v>
      </c>
      <c r="U32" s="184">
        <v>0</v>
      </c>
      <c r="V32" s="184">
        <v>0</v>
      </c>
      <c r="W32" s="184">
        <v>0</v>
      </c>
      <c r="X32" s="184">
        <v>0</v>
      </c>
      <c r="Y32" s="184">
        <v>0</v>
      </c>
      <c r="Z32" s="184">
        <v>0</v>
      </c>
      <c r="AA32" s="184">
        <v>0</v>
      </c>
      <c r="AB32" s="184">
        <v>0</v>
      </c>
      <c r="AC32" s="185" t="s">
        <v>24</v>
      </c>
      <c r="AD32" s="185" t="s">
        <v>24</v>
      </c>
      <c r="AE32" s="184">
        <v>0</v>
      </c>
      <c r="AF32" s="185">
        <v>0</v>
      </c>
      <c r="AG32" s="184">
        <v>0</v>
      </c>
      <c r="AH32" s="185">
        <v>0</v>
      </c>
      <c r="AI32" s="184">
        <v>0</v>
      </c>
      <c r="AJ32" s="643">
        <v>0</v>
      </c>
      <c r="AP32" s="401">
        <f t="shared" si="40"/>
        <v>1</v>
      </c>
      <c r="AR32" s="56">
        <f t="shared" si="41"/>
        <v>0.21874999999999992</v>
      </c>
      <c r="AS32" s="67">
        <f>SUM(C36,C143,C250,C357,C464,C571,C678)/config!$AC$13</f>
        <v>0</v>
      </c>
      <c r="AT32" s="68">
        <f>SUM(D36:E36,D143:E143,D250:E250,D357:E357,D464:E464,D571:E571,D678:E678)/config!$AC$13</f>
        <v>2.4285714285714284</v>
      </c>
      <c r="AU32" s="68">
        <f>SUM(F36:G36,F143:G143,F250:G250,F357:G357,F464:G464,F571:G571,F678:G678)/config!$AC$13</f>
        <v>0.14285714285714285</v>
      </c>
      <c r="AV32" s="68">
        <f>SUM(H36,H143,H250,H357,H464,H571,H678)/config!$AC$13</f>
        <v>0</v>
      </c>
      <c r="AW32" s="69">
        <f>SUM(I36:L36,I143:L143,I250:L250,I357:L357,I464:L464,I571:L571,I678:L678)/config!$AC$13</f>
        <v>0</v>
      </c>
      <c r="AY32" s="56">
        <f t="shared" si="42"/>
        <v>0.21874999999999992</v>
      </c>
      <c r="AZ32" s="70">
        <f t="shared" si="8"/>
        <v>3</v>
      </c>
      <c r="BA32" s="71">
        <f t="shared" si="9"/>
        <v>5</v>
      </c>
      <c r="BB32" s="71">
        <f t="shared" si="10"/>
        <v>2</v>
      </c>
      <c r="BC32" s="71">
        <f t="shared" si="11"/>
        <v>3</v>
      </c>
      <c r="BD32" s="71">
        <f t="shared" si="12"/>
        <v>1</v>
      </c>
      <c r="BE32" s="71">
        <f t="shared" si="13"/>
        <v>2</v>
      </c>
      <c r="BF32" s="72">
        <f t="shared" si="14"/>
        <v>2</v>
      </c>
      <c r="BG32" s="45"/>
      <c r="BH32" s="56">
        <f t="shared" si="15"/>
        <v>0.21874999999999992</v>
      </c>
      <c r="BI32" s="67">
        <f t="shared" si="16"/>
        <v>45.7</v>
      </c>
      <c r="BJ32" s="68">
        <f t="shared" si="17"/>
        <v>48.7</v>
      </c>
      <c r="BK32" s="68">
        <f t="shared" si="18"/>
        <v>48.5</v>
      </c>
      <c r="BL32" s="68">
        <f t="shared" si="19"/>
        <v>41.9</v>
      </c>
      <c r="BM32" s="68">
        <f t="shared" si="20"/>
        <v>43.5</v>
      </c>
      <c r="BN32" s="68">
        <f t="shared" si="21"/>
        <v>38</v>
      </c>
      <c r="BO32" s="69">
        <f t="shared" si="22"/>
        <v>38.299999999999997</v>
      </c>
      <c r="BP32" s="63"/>
      <c r="BQ32" s="64">
        <f t="shared" si="23"/>
        <v>0.21874999999999992</v>
      </c>
      <c r="BR32" s="67" t="str">
        <f t="shared" si="24"/>
        <v/>
      </c>
      <c r="BS32" s="68" t="str">
        <f t="shared" si="25"/>
        <v/>
      </c>
      <c r="BT32" s="68" t="str">
        <f t="shared" si="26"/>
        <v/>
      </c>
      <c r="BU32" s="68" t="str">
        <f t="shared" si="27"/>
        <v/>
      </c>
      <c r="BV32" s="68" t="str">
        <f t="shared" si="28"/>
        <v/>
      </c>
      <c r="BW32" s="68" t="str">
        <f t="shared" si="29"/>
        <v/>
      </c>
      <c r="BX32" s="69" t="str">
        <f t="shared" si="30"/>
        <v/>
      </c>
      <c r="BY32" s="65"/>
      <c r="BZ32" s="66">
        <f t="shared" si="43"/>
        <v>43.51428571428572</v>
      </c>
      <c r="CA32" s="414" t="e">
        <f t="shared" si="31"/>
        <v>#N/A</v>
      </c>
      <c r="CB32" s="416">
        <f t="shared" si="48"/>
        <v>60</v>
      </c>
      <c r="CC32" s="65"/>
      <c r="CD32" s="67">
        <f t="shared" si="32"/>
        <v>0</v>
      </c>
      <c r="CE32" s="68">
        <f t="shared" si="33"/>
        <v>1</v>
      </c>
      <c r="CF32" s="68">
        <f t="shared" si="34"/>
        <v>0</v>
      </c>
      <c r="CG32" s="68">
        <f t="shared" si="35"/>
        <v>0</v>
      </c>
      <c r="CH32" s="68">
        <f t="shared" si="36"/>
        <v>0</v>
      </c>
      <c r="CI32" s="68">
        <f t="shared" si="37"/>
        <v>0</v>
      </c>
      <c r="CJ32" s="69">
        <f t="shared" si="38"/>
        <v>0</v>
      </c>
      <c r="CM32" s="67">
        <f t="shared" si="44"/>
        <v>137.10000000000002</v>
      </c>
      <c r="CN32" s="68">
        <f t="shared" si="49"/>
        <v>243.5</v>
      </c>
      <c r="CO32" s="68">
        <f t="shared" si="50"/>
        <v>97</v>
      </c>
      <c r="CP32" s="68">
        <f t="shared" si="51"/>
        <v>125.69999999999999</v>
      </c>
      <c r="CQ32" s="68">
        <f t="shared" si="52"/>
        <v>43.5</v>
      </c>
      <c r="CR32" s="68">
        <f t="shared" si="53"/>
        <v>76</v>
      </c>
      <c r="CS32" s="69">
        <f t="shared" si="54"/>
        <v>76.599999999999994</v>
      </c>
      <c r="CU32" s="511">
        <f>SUM(SUMIF($AZ$8:$BF$8, {"NON";"NEUT"}, AZ32:BF32))/config!$AC$16</f>
        <v>3</v>
      </c>
      <c r="CV32" s="512">
        <f t="shared" si="45"/>
        <v>0.21874999999999992</v>
      </c>
      <c r="CY32" s="67">
        <f>SUM(C36*$CY$108, C143*$CY$109, C250*$CY$110, C357*$CY$111, C464*$CY$112, C571*$CY$113, C678*$CY$114)/config!$AC$16</f>
        <v>0</v>
      </c>
      <c r="CZ32" s="68">
        <f>SUM(SUM(D36:E36)*$CY$108, SUM(D143:E143)*$CY$109, SUM(D250:E250)*$CY$110, SUM(D357:E357)*$CY$111, SUM(D464:E464)*$CY$112, SUM(D571:E571)*$CY$113, SUM(D678:E678)*$CY$114)/config!$AC$16</f>
        <v>2.8</v>
      </c>
      <c r="DA32" s="68">
        <f>SUM(SUM(F36:G36)*$CY$108, SUM(F143:G143)*$CY$109, SUM(F250:G250)*$CY$110, SUM(F357:G357)*$CY$111, SUM(F464:G464)*$CY$112, SUM(F571:G571)*$CY$113, SUM(F678:G678)*$CY$114)/config!$AC$16</f>
        <v>0.2</v>
      </c>
      <c r="DB32" s="68">
        <f>SUM(H36*$CY$108, H143*$CY$109, H250*$CY$110, H357*$CY$111, H464*$CY$112, H571*$CY$113, H678*$CY$114)/config!$AC$16</f>
        <v>0</v>
      </c>
      <c r="DC32" s="69">
        <f>SUM(SUM(I36:L36)*$CY$108, SUM(I143:L143)*$CY$109, SUM(I250:L250)*$CY$110, SUM(I357:L357)*$CY$111, SUM(I464:L464)*$CY$112, SUM(I571:L571)*$CY$113, SUM(I678:L678)*$CY$114)/config!$AC$16</f>
        <v>0</v>
      </c>
    </row>
    <row r="33" spans="1:107" ht="15" x14ac:dyDescent="0.25">
      <c r="A33" s="440" t="s">
        <v>68</v>
      </c>
      <c r="B33" s="642">
        <v>0</v>
      </c>
      <c r="C33" s="184">
        <v>0</v>
      </c>
      <c r="D33" s="184">
        <v>0</v>
      </c>
      <c r="E33" s="184">
        <v>0</v>
      </c>
      <c r="F33" s="184">
        <v>0</v>
      </c>
      <c r="G33" s="184">
        <v>0</v>
      </c>
      <c r="H33" s="184">
        <v>0</v>
      </c>
      <c r="I33" s="184">
        <v>0</v>
      </c>
      <c r="J33" s="184">
        <v>0</v>
      </c>
      <c r="K33" s="184">
        <v>0</v>
      </c>
      <c r="L33" s="184">
        <v>0</v>
      </c>
      <c r="M33" s="654" t="s">
        <v>24</v>
      </c>
      <c r="N33" s="670" t="s">
        <v>68</v>
      </c>
      <c r="O33" s="642">
        <v>0</v>
      </c>
      <c r="P33" s="184">
        <v>0</v>
      </c>
      <c r="Q33" s="184">
        <v>0</v>
      </c>
      <c r="R33" s="184">
        <v>0</v>
      </c>
      <c r="S33" s="184">
        <v>0</v>
      </c>
      <c r="T33" s="184">
        <v>0</v>
      </c>
      <c r="U33" s="184">
        <v>0</v>
      </c>
      <c r="V33" s="184">
        <v>0</v>
      </c>
      <c r="W33" s="184">
        <v>0</v>
      </c>
      <c r="X33" s="184">
        <v>0</v>
      </c>
      <c r="Y33" s="184">
        <v>0</v>
      </c>
      <c r="Z33" s="184">
        <v>0</v>
      </c>
      <c r="AA33" s="184">
        <v>0</v>
      </c>
      <c r="AB33" s="184">
        <v>0</v>
      </c>
      <c r="AC33" s="185" t="s">
        <v>24</v>
      </c>
      <c r="AD33" s="185" t="s">
        <v>24</v>
      </c>
      <c r="AE33" s="184">
        <v>0</v>
      </c>
      <c r="AF33" s="185">
        <v>0</v>
      </c>
      <c r="AG33" s="184">
        <v>0</v>
      </c>
      <c r="AH33" s="185">
        <v>0</v>
      </c>
      <c r="AI33" s="184">
        <v>0</v>
      </c>
      <c r="AJ33" s="643">
        <v>0</v>
      </c>
      <c r="AP33" s="401">
        <f t="shared" si="40"/>
        <v>0</v>
      </c>
      <c r="AR33" s="56">
        <f t="shared" si="41"/>
        <v>0.22916666666666657</v>
      </c>
      <c r="AS33" s="67">
        <f>SUM(C37,C144,C251,C358,C465,C572,C679)/config!$AC$13</f>
        <v>0</v>
      </c>
      <c r="AT33" s="68">
        <f>SUM(D37:E37,D144:E144,D251:E251,D358:E358,D465:E465,D572:E572,D679:E679)/config!$AC$13</f>
        <v>3.7142857142857144</v>
      </c>
      <c r="AU33" s="68">
        <f>SUM(F37:G37,F144:G144,F251:G251,F358:G358,F465:G465,F572:G572,F679:G679)/config!$AC$13</f>
        <v>0</v>
      </c>
      <c r="AV33" s="68">
        <f>SUM(H37,H144,H251,H358,H465,H572,H679)/config!$AC$13</f>
        <v>0</v>
      </c>
      <c r="AW33" s="69">
        <f>SUM(I37:L37,I144:L144,I251:L251,I358:L358,I465:L465,I572:L572,I679:L679)/config!$AC$13</f>
        <v>0</v>
      </c>
      <c r="AY33" s="56">
        <f t="shared" si="42"/>
        <v>0.22916666666666657</v>
      </c>
      <c r="AZ33" s="70">
        <f t="shared" si="8"/>
        <v>6</v>
      </c>
      <c r="BA33" s="71">
        <f t="shared" si="9"/>
        <v>4</v>
      </c>
      <c r="BB33" s="71">
        <f t="shared" si="10"/>
        <v>5</v>
      </c>
      <c r="BC33" s="71">
        <f t="shared" si="11"/>
        <v>4</v>
      </c>
      <c r="BD33" s="71">
        <f t="shared" si="12"/>
        <v>2</v>
      </c>
      <c r="BE33" s="71">
        <f t="shared" si="13"/>
        <v>1</v>
      </c>
      <c r="BF33" s="72">
        <f t="shared" si="14"/>
        <v>4</v>
      </c>
      <c r="BG33" s="45"/>
      <c r="BH33" s="56">
        <f t="shared" si="15"/>
        <v>0.22916666666666657</v>
      </c>
      <c r="BI33" s="67">
        <f t="shared" si="16"/>
        <v>48.9</v>
      </c>
      <c r="BJ33" s="68">
        <f t="shared" si="17"/>
        <v>47.2</v>
      </c>
      <c r="BK33" s="68">
        <f t="shared" si="18"/>
        <v>48.2</v>
      </c>
      <c r="BL33" s="68">
        <f t="shared" si="19"/>
        <v>43.2</v>
      </c>
      <c r="BM33" s="68">
        <f t="shared" si="20"/>
        <v>45.6</v>
      </c>
      <c r="BN33" s="68">
        <f t="shared" si="21"/>
        <v>46.6</v>
      </c>
      <c r="BO33" s="69">
        <f t="shared" si="22"/>
        <v>50.2</v>
      </c>
      <c r="BP33" s="63"/>
      <c r="BQ33" s="64">
        <f t="shared" si="23"/>
        <v>0.22916666666666657</v>
      </c>
      <c r="BR33" s="67" t="str">
        <f t="shared" si="24"/>
        <v/>
      </c>
      <c r="BS33" s="68" t="str">
        <f t="shared" si="25"/>
        <v/>
      </c>
      <c r="BT33" s="68" t="str">
        <f t="shared" si="26"/>
        <v/>
      </c>
      <c r="BU33" s="68" t="str">
        <f t="shared" si="27"/>
        <v/>
      </c>
      <c r="BV33" s="68" t="str">
        <f t="shared" si="28"/>
        <v/>
      </c>
      <c r="BW33" s="68" t="str">
        <f t="shared" si="29"/>
        <v/>
      </c>
      <c r="BX33" s="69" t="str">
        <f t="shared" si="30"/>
        <v/>
      </c>
      <c r="BY33" s="65"/>
      <c r="BZ33" s="66">
        <f t="shared" si="43"/>
        <v>47.128571428571426</v>
      </c>
      <c r="CA33" s="414" t="e">
        <f t="shared" si="31"/>
        <v>#N/A</v>
      </c>
      <c r="CB33" s="416">
        <f t="shared" si="48"/>
        <v>60</v>
      </c>
      <c r="CC33" s="65"/>
      <c r="CD33" s="67">
        <f t="shared" si="32"/>
        <v>1</v>
      </c>
      <c r="CE33" s="68">
        <f t="shared" si="33"/>
        <v>0</v>
      </c>
      <c r="CF33" s="68">
        <f t="shared" si="34"/>
        <v>0</v>
      </c>
      <c r="CG33" s="68">
        <f t="shared" si="35"/>
        <v>0</v>
      </c>
      <c r="CH33" s="68">
        <f t="shared" si="36"/>
        <v>0</v>
      </c>
      <c r="CI33" s="68">
        <f t="shared" si="37"/>
        <v>0</v>
      </c>
      <c r="CJ33" s="69">
        <f t="shared" si="38"/>
        <v>0</v>
      </c>
      <c r="CM33" s="67">
        <f t="shared" si="44"/>
        <v>293.39999999999998</v>
      </c>
      <c r="CN33" s="68">
        <f t="shared" si="49"/>
        <v>188.8</v>
      </c>
      <c r="CO33" s="68">
        <f t="shared" si="50"/>
        <v>241</v>
      </c>
      <c r="CP33" s="68">
        <f t="shared" si="51"/>
        <v>172.8</v>
      </c>
      <c r="CQ33" s="68">
        <f t="shared" si="52"/>
        <v>91.2</v>
      </c>
      <c r="CR33" s="68">
        <f t="shared" si="53"/>
        <v>46.6</v>
      </c>
      <c r="CS33" s="69">
        <f t="shared" si="54"/>
        <v>200.8</v>
      </c>
      <c r="CU33" s="511">
        <f>SUM(SUMIF($AZ$8:$BF$8, {"NON";"NEUT"}, AZ33:BF33))/config!$AC$16</f>
        <v>4.5999999999999996</v>
      </c>
      <c r="CV33" s="512">
        <f t="shared" si="45"/>
        <v>0.22916666666666657</v>
      </c>
      <c r="CY33" s="67">
        <f>SUM(C37*$CY$108, C144*$CY$109, C251*$CY$110, C358*$CY$111, C465*$CY$112, C572*$CY$113, C679*$CY$114)/config!$AC$16</f>
        <v>0</v>
      </c>
      <c r="CZ33" s="68">
        <f>SUM(SUM(D37:E37)*$CY$108, SUM(D144:E144)*$CY$109, SUM(D251:E251)*$CY$110, SUM(D358:E358)*$CY$111, SUM(D465:E465)*$CY$112, SUM(D572:E572)*$CY$113, SUM(D679:E679)*$CY$114)/config!$AC$16</f>
        <v>4.5999999999999996</v>
      </c>
      <c r="DA33" s="68">
        <f>SUM(SUM(F37:G37)*$CY$108, SUM(F144:G144)*$CY$109, SUM(F251:G251)*$CY$110, SUM(F358:G358)*$CY$111, SUM(F465:G465)*$CY$112, SUM(F572:G572)*$CY$113, SUM(F679:G679)*$CY$114)/config!$AC$16</f>
        <v>0</v>
      </c>
      <c r="DB33" s="68">
        <f>SUM(H37*$CY$108, H144*$CY$109, H251*$CY$110, H358*$CY$111, H465*$CY$112, H572*$CY$113, H679*$CY$114)/config!$AC$16</f>
        <v>0</v>
      </c>
      <c r="DC33" s="69">
        <f>SUM(SUM(I37:L37)*$CY$108, SUM(I144:L144)*$CY$109, SUM(I251:L251)*$CY$110, SUM(I358:L358)*$CY$111, SUM(I465:L465)*$CY$112, SUM(I572:L572)*$CY$113, SUM(I679:L679)*$CY$114)/config!$AC$16</f>
        <v>0</v>
      </c>
    </row>
    <row r="34" spans="1:107" ht="15" x14ac:dyDescent="0.25">
      <c r="A34" s="440" t="s">
        <v>70</v>
      </c>
      <c r="B34" s="642">
        <v>0</v>
      </c>
      <c r="C34" s="184">
        <v>0</v>
      </c>
      <c r="D34" s="184">
        <v>0</v>
      </c>
      <c r="E34" s="184">
        <v>0</v>
      </c>
      <c r="F34" s="184">
        <v>0</v>
      </c>
      <c r="G34" s="184">
        <v>0</v>
      </c>
      <c r="H34" s="184">
        <v>0</v>
      </c>
      <c r="I34" s="184">
        <v>0</v>
      </c>
      <c r="J34" s="184">
        <v>0</v>
      </c>
      <c r="K34" s="184">
        <v>0</v>
      </c>
      <c r="L34" s="184">
        <v>0</v>
      </c>
      <c r="M34" s="654" t="s">
        <v>24</v>
      </c>
      <c r="N34" s="670" t="s">
        <v>70</v>
      </c>
      <c r="O34" s="642">
        <v>0</v>
      </c>
      <c r="P34" s="184">
        <v>0</v>
      </c>
      <c r="Q34" s="184">
        <v>0</v>
      </c>
      <c r="R34" s="184">
        <v>0</v>
      </c>
      <c r="S34" s="184">
        <v>0</v>
      </c>
      <c r="T34" s="184">
        <v>0</v>
      </c>
      <c r="U34" s="184">
        <v>0</v>
      </c>
      <c r="V34" s="184">
        <v>0</v>
      </c>
      <c r="W34" s="184">
        <v>0</v>
      </c>
      <c r="X34" s="184">
        <v>0</v>
      </c>
      <c r="Y34" s="184">
        <v>0</v>
      </c>
      <c r="Z34" s="184">
        <v>0</v>
      </c>
      <c r="AA34" s="184">
        <v>0</v>
      </c>
      <c r="AB34" s="184">
        <v>0</v>
      </c>
      <c r="AC34" s="185" t="s">
        <v>24</v>
      </c>
      <c r="AD34" s="185" t="s">
        <v>24</v>
      </c>
      <c r="AE34" s="184">
        <v>0</v>
      </c>
      <c r="AF34" s="185">
        <v>0</v>
      </c>
      <c r="AG34" s="184">
        <v>0</v>
      </c>
      <c r="AH34" s="185">
        <v>0</v>
      </c>
      <c r="AI34" s="184">
        <v>0</v>
      </c>
      <c r="AJ34" s="643">
        <v>0</v>
      </c>
      <c r="AP34" s="401">
        <f t="shared" si="40"/>
        <v>2</v>
      </c>
      <c r="AR34" s="56">
        <f t="shared" si="41"/>
        <v>0.23958333333333323</v>
      </c>
      <c r="AS34" s="67">
        <f>SUM(C38,C145,C252,C359,C466,C573,C680)/config!$AC$13</f>
        <v>0</v>
      </c>
      <c r="AT34" s="68">
        <f>SUM(D38:E38,D145:E145,D252:E252,D359:E359,D466:E466,D573:E573,D680:E680)/config!$AC$13</f>
        <v>2.1428571428571428</v>
      </c>
      <c r="AU34" s="68">
        <f>SUM(F38:G38,F145:G145,F252:G252,F359:G359,F466:G466,F573:G573,F680:G680)/config!$AC$13</f>
        <v>0.2857142857142857</v>
      </c>
      <c r="AV34" s="68">
        <f>SUM(H38,H145,H252,H359,H466,H573,H680)/config!$AC$13</f>
        <v>0</v>
      </c>
      <c r="AW34" s="69">
        <f>SUM(I38:L38,I145:L145,I252:L252,I359:L359,I466:L466,I573:L573,I680:L680)/config!$AC$13</f>
        <v>0</v>
      </c>
      <c r="AY34" s="56">
        <f t="shared" si="42"/>
        <v>0.23958333333333323</v>
      </c>
      <c r="AZ34" s="70">
        <f t="shared" si="8"/>
        <v>3</v>
      </c>
      <c r="BA34" s="71">
        <f t="shared" si="9"/>
        <v>4</v>
      </c>
      <c r="BB34" s="71">
        <f t="shared" si="10"/>
        <v>4</v>
      </c>
      <c r="BC34" s="71">
        <f t="shared" si="11"/>
        <v>3</v>
      </c>
      <c r="BD34" s="71">
        <f t="shared" si="12"/>
        <v>1</v>
      </c>
      <c r="BE34" s="71">
        <f t="shared" si="13"/>
        <v>1</v>
      </c>
      <c r="BF34" s="72">
        <f t="shared" si="14"/>
        <v>1</v>
      </c>
      <c r="BG34" s="45"/>
      <c r="BH34" s="56">
        <f t="shared" si="15"/>
        <v>0.23958333333333323</v>
      </c>
      <c r="BI34" s="67">
        <f t="shared" si="16"/>
        <v>47.7</v>
      </c>
      <c r="BJ34" s="68">
        <f t="shared" si="17"/>
        <v>57.8</v>
      </c>
      <c r="BK34" s="68">
        <f t="shared" si="18"/>
        <v>49.3</v>
      </c>
      <c r="BL34" s="68">
        <f t="shared" si="19"/>
        <v>50.7</v>
      </c>
      <c r="BM34" s="68">
        <f t="shared" si="20"/>
        <v>37.200000000000003</v>
      </c>
      <c r="BN34" s="68">
        <f t="shared" si="21"/>
        <v>52.1</v>
      </c>
      <c r="BO34" s="69">
        <f t="shared" si="22"/>
        <v>41.2</v>
      </c>
      <c r="BP34" s="63"/>
      <c r="BQ34" s="64">
        <f t="shared" si="23"/>
        <v>0.23958333333333323</v>
      </c>
      <c r="BR34" s="67" t="str">
        <f t="shared" si="24"/>
        <v/>
      </c>
      <c r="BS34" s="68" t="str">
        <f t="shared" si="25"/>
        <v/>
      </c>
      <c r="BT34" s="68" t="str">
        <f t="shared" si="26"/>
        <v/>
      </c>
      <c r="BU34" s="68" t="str">
        <f t="shared" si="27"/>
        <v/>
      </c>
      <c r="BV34" s="68" t="str">
        <f t="shared" si="28"/>
        <v/>
      </c>
      <c r="BW34" s="68" t="str">
        <f t="shared" si="29"/>
        <v/>
      </c>
      <c r="BX34" s="69" t="str">
        <f t="shared" si="30"/>
        <v/>
      </c>
      <c r="BY34" s="65"/>
      <c r="BZ34" s="66">
        <f t="shared" si="43"/>
        <v>48</v>
      </c>
      <c r="CA34" s="414" t="e">
        <f t="shared" si="31"/>
        <v>#N/A</v>
      </c>
      <c r="CB34" s="416">
        <f t="shared" si="48"/>
        <v>60</v>
      </c>
      <c r="CC34" s="65"/>
      <c r="CD34" s="67">
        <f t="shared" si="32"/>
        <v>0</v>
      </c>
      <c r="CE34" s="68">
        <f t="shared" si="33"/>
        <v>2</v>
      </c>
      <c r="CF34" s="68">
        <f t="shared" si="34"/>
        <v>0</v>
      </c>
      <c r="CG34" s="68">
        <f t="shared" si="35"/>
        <v>1</v>
      </c>
      <c r="CH34" s="68">
        <f t="shared" si="36"/>
        <v>0</v>
      </c>
      <c r="CI34" s="68">
        <f t="shared" si="37"/>
        <v>0</v>
      </c>
      <c r="CJ34" s="69">
        <f t="shared" si="38"/>
        <v>0</v>
      </c>
      <c r="CM34" s="67">
        <f t="shared" si="44"/>
        <v>143.10000000000002</v>
      </c>
      <c r="CN34" s="68">
        <f t="shared" si="49"/>
        <v>231.2</v>
      </c>
      <c r="CO34" s="68">
        <f t="shared" si="50"/>
        <v>197.2</v>
      </c>
      <c r="CP34" s="68">
        <f t="shared" si="51"/>
        <v>152.10000000000002</v>
      </c>
      <c r="CQ34" s="68">
        <f t="shared" si="52"/>
        <v>37.200000000000003</v>
      </c>
      <c r="CR34" s="68">
        <f t="shared" si="53"/>
        <v>52.1</v>
      </c>
      <c r="CS34" s="69">
        <f t="shared" si="54"/>
        <v>41.2</v>
      </c>
      <c r="CU34" s="511">
        <f>SUM(SUMIF($AZ$8:$BF$8, {"NON";"NEUT"}, AZ34:BF34))/config!$AC$16</f>
        <v>3</v>
      </c>
      <c r="CV34" s="512">
        <f t="shared" si="45"/>
        <v>0.23958333333333323</v>
      </c>
      <c r="CY34" s="67">
        <f>SUM(C38*$CY$108, C145*$CY$109, C252*$CY$110, C359*$CY$111, C466*$CY$112, C573*$CY$113, C680*$CY$114)/config!$AC$16</f>
        <v>0</v>
      </c>
      <c r="CZ34" s="68">
        <f>SUM(SUM(D38:E38)*$CY$108, SUM(D145:E145)*$CY$109, SUM(D252:E252)*$CY$110, SUM(D359:E359)*$CY$111, SUM(D466:E466)*$CY$112, SUM(D573:E573)*$CY$113, SUM(D680:E680)*$CY$114)/config!$AC$16</f>
        <v>2.6</v>
      </c>
      <c r="DA34" s="68">
        <f>SUM(SUM(F38:G38)*$CY$108, SUM(F145:G145)*$CY$109, SUM(F252:G252)*$CY$110, SUM(F359:G359)*$CY$111, SUM(F466:G466)*$CY$112, SUM(F573:G573)*$CY$113, SUM(F680:G680)*$CY$114)/config!$AC$16</f>
        <v>0.4</v>
      </c>
      <c r="DB34" s="68">
        <f>SUM(H38*$CY$108, H145*$CY$109, H252*$CY$110, H359*$CY$111, H466*$CY$112, H573*$CY$113, H680*$CY$114)/config!$AC$16</f>
        <v>0</v>
      </c>
      <c r="DC34" s="69">
        <f>SUM(SUM(I38:L38)*$CY$108, SUM(I145:L145)*$CY$109, SUM(I252:L252)*$CY$110, SUM(I359:L359)*$CY$111, SUM(I466:L466)*$CY$112, SUM(I573:L573)*$CY$113, SUM(I680:L680)*$CY$114)/config!$AC$16</f>
        <v>0</v>
      </c>
    </row>
    <row r="35" spans="1:107" ht="15" x14ac:dyDescent="0.25">
      <c r="A35" s="440" t="s">
        <v>46</v>
      </c>
      <c r="B35" s="642">
        <v>0</v>
      </c>
      <c r="C35" s="184">
        <v>0</v>
      </c>
      <c r="D35" s="184">
        <v>0</v>
      </c>
      <c r="E35" s="184">
        <v>0</v>
      </c>
      <c r="F35" s="184">
        <v>0</v>
      </c>
      <c r="G35" s="184">
        <v>0</v>
      </c>
      <c r="H35" s="184">
        <v>0</v>
      </c>
      <c r="I35" s="184">
        <v>0</v>
      </c>
      <c r="J35" s="184">
        <v>0</v>
      </c>
      <c r="K35" s="184">
        <v>0</v>
      </c>
      <c r="L35" s="184">
        <v>0</v>
      </c>
      <c r="M35" s="654" t="s">
        <v>24</v>
      </c>
      <c r="N35" s="670" t="s">
        <v>46</v>
      </c>
      <c r="O35" s="642">
        <v>0</v>
      </c>
      <c r="P35" s="184">
        <v>0</v>
      </c>
      <c r="Q35" s="184">
        <v>0</v>
      </c>
      <c r="R35" s="184">
        <v>0</v>
      </c>
      <c r="S35" s="184">
        <v>0</v>
      </c>
      <c r="T35" s="184">
        <v>0</v>
      </c>
      <c r="U35" s="184">
        <v>0</v>
      </c>
      <c r="V35" s="184">
        <v>0</v>
      </c>
      <c r="W35" s="184">
        <v>0</v>
      </c>
      <c r="X35" s="184">
        <v>0</v>
      </c>
      <c r="Y35" s="184">
        <v>0</v>
      </c>
      <c r="Z35" s="184">
        <v>0</v>
      </c>
      <c r="AA35" s="184">
        <v>0</v>
      </c>
      <c r="AB35" s="184">
        <v>0</v>
      </c>
      <c r="AC35" s="185" t="s">
        <v>24</v>
      </c>
      <c r="AD35" s="185" t="s">
        <v>24</v>
      </c>
      <c r="AE35" s="184">
        <v>0</v>
      </c>
      <c r="AF35" s="185">
        <v>0</v>
      </c>
      <c r="AG35" s="184">
        <v>0</v>
      </c>
      <c r="AH35" s="185">
        <v>0</v>
      </c>
      <c r="AI35" s="184">
        <v>0</v>
      </c>
      <c r="AJ35" s="643">
        <v>0</v>
      </c>
      <c r="AP35" s="401">
        <f t="shared" si="40"/>
        <v>1</v>
      </c>
      <c r="AR35" s="56">
        <f t="shared" si="41"/>
        <v>0.24999999999999989</v>
      </c>
      <c r="AS35" s="67">
        <f>SUM(C39,C146,C253,C360,C467,C574,C681)/config!$AC$13</f>
        <v>0</v>
      </c>
      <c r="AT35" s="68">
        <f>SUM(D39:E39,D146:E146,D253:E253,D360:E360,D467:E467,D574:E574,D681:E681)/config!$AC$13</f>
        <v>2.1428571428571428</v>
      </c>
      <c r="AU35" s="68">
        <f>SUM(F39:G39,F146:G146,F253:G253,F360:G360,F467:G467,F574:G574,F681:G681)/config!$AC$13</f>
        <v>0.14285714285714285</v>
      </c>
      <c r="AV35" s="68">
        <f>SUM(H39,H146,H253,H360,H467,H574,H681)/config!$AC$13</f>
        <v>0</v>
      </c>
      <c r="AW35" s="69">
        <f>SUM(I39:L39,I146:L146,I253:L253,I360:L360,I467:L467,I574:L574,I681:L681)/config!$AC$13</f>
        <v>0</v>
      </c>
      <c r="AY35" s="56">
        <f t="shared" si="42"/>
        <v>0.24999999999999989</v>
      </c>
      <c r="AZ35" s="70">
        <f t="shared" si="8"/>
        <v>3</v>
      </c>
      <c r="BA35" s="71">
        <f t="shared" si="9"/>
        <v>4</v>
      </c>
      <c r="BB35" s="71">
        <f t="shared" si="10"/>
        <v>5</v>
      </c>
      <c r="BC35" s="71">
        <f t="shared" si="11"/>
        <v>0</v>
      </c>
      <c r="BD35" s="71">
        <f t="shared" si="12"/>
        <v>0</v>
      </c>
      <c r="BE35" s="71">
        <f t="shared" si="13"/>
        <v>1</v>
      </c>
      <c r="BF35" s="72">
        <f t="shared" si="14"/>
        <v>3</v>
      </c>
      <c r="BG35" s="45"/>
      <c r="BH35" s="56">
        <f t="shared" si="15"/>
        <v>0.24999999999999989</v>
      </c>
      <c r="BI35" s="67">
        <f t="shared" si="16"/>
        <v>45.4</v>
      </c>
      <c r="BJ35" s="68">
        <f t="shared" si="17"/>
        <v>45</v>
      </c>
      <c r="BK35" s="68">
        <f t="shared" si="18"/>
        <v>48.9</v>
      </c>
      <c r="BL35" s="68" t="str">
        <f t="shared" si="19"/>
        <v/>
      </c>
      <c r="BM35" s="68" t="str">
        <f t="shared" si="20"/>
        <v/>
      </c>
      <c r="BN35" s="68">
        <f t="shared" si="21"/>
        <v>35.1</v>
      </c>
      <c r="BO35" s="69">
        <f t="shared" si="22"/>
        <v>43</v>
      </c>
      <c r="BP35" s="63"/>
      <c r="BQ35" s="64">
        <f t="shared" si="23"/>
        <v>0.24999999999999989</v>
      </c>
      <c r="BR35" s="67" t="str">
        <f t="shared" si="24"/>
        <v/>
      </c>
      <c r="BS35" s="68" t="str">
        <f t="shared" si="25"/>
        <v/>
      </c>
      <c r="BT35" s="68" t="str">
        <f t="shared" si="26"/>
        <v/>
      </c>
      <c r="BU35" s="68" t="str">
        <f t="shared" si="27"/>
        <v/>
      </c>
      <c r="BV35" s="68" t="str">
        <f t="shared" si="28"/>
        <v/>
      </c>
      <c r="BW35" s="68" t="str">
        <f t="shared" si="29"/>
        <v/>
      </c>
      <c r="BX35" s="69" t="str">
        <f t="shared" si="30"/>
        <v/>
      </c>
      <c r="BY35" s="65"/>
      <c r="BZ35" s="66">
        <f t="shared" si="43"/>
        <v>43.480000000000004</v>
      </c>
      <c r="CA35" s="414" t="e">
        <f t="shared" si="31"/>
        <v>#N/A</v>
      </c>
      <c r="CB35" s="416">
        <f t="shared" si="48"/>
        <v>60</v>
      </c>
      <c r="CC35" s="65"/>
      <c r="CD35" s="67">
        <f t="shared" si="32"/>
        <v>0</v>
      </c>
      <c r="CE35" s="68">
        <f t="shared" si="33"/>
        <v>0</v>
      </c>
      <c r="CF35" s="68">
        <f t="shared" si="34"/>
        <v>1</v>
      </c>
      <c r="CG35" s="68">
        <f t="shared" si="35"/>
        <v>0</v>
      </c>
      <c r="CH35" s="68">
        <f t="shared" si="36"/>
        <v>0</v>
      </c>
      <c r="CI35" s="68">
        <f t="shared" si="37"/>
        <v>0</v>
      </c>
      <c r="CJ35" s="69">
        <f t="shared" si="38"/>
        <v>0</v>
      </c>
      <c r="CM35" s="67">
        <f t="shared" si="44"/>
        <v>136.19999999999999</v>
      </c>
      <c r="CN35" s="68">
        <f t="shared" si="49"/>
        <v>180</v>
      </c>
      <c r="CO35" s="68">
        <f t="shared" si="50"/>
        <v>244.5</v>
      </c>
      <c r="CP35" s="68" t="str">
        <f t="shared" si="51"/>
        <v/>
      </c>
      <c r="CQ35" s="68" t="str">
        <f t="shared" si="52"/>
        <v/>
      </c>
      <c r="CR35" s="68">
        <f t="shared" si="53"/>
        <v>35.1</v>
      </c>
      <c r="CS35" s="69">
        <f t="shared" si="54"/>
        <v>129</v>
      </c>
      <c r="CU35" s="511">
        <f>SUM(SUMIF($AZ$8:$BF$8, {"NON";"NEUT"}, AZ35:BF35))/config!$AC$16</f>
        <v>3</v>
      </c>
      <c r="CV35" s="512">
        <f t="shared" si="45"/>
        <v>0.24999999999999989</v>
      </c>
      <c r="CY35" s="67">
        <f>SUM(C39*$CY$108, C146*$CY$109, C253*$CY$110, C360*$CY$111, C467*$CY$112, C574*$CY$113, C681*$CY$114)/config!$AC$16</f>
        <v>0</v>
      </c>
      <c r="CZ35" s="68">
        <f>SUM(SUM(D39:E39)*$CY$108, SUM(D146:E146)*$CY$109, SUM(D253:E253)*$CY$110, SUM(D360:E360)*$CY$111, SUM(D467:E467)*$CY$112, SUM(D574:E574)*$CY$113, SUM(D681:E681)*$CY$114)/config!$AC$16</f>
        <v>2.8</v>
      </c>
      <c r="DA35" s="68">
        <f>SUM(SUM(F39:G39)*$CY$108, SUM(F146:G146)*$CY$109, SUM(F253:G253)*$CY$110, SUM(F360:G360)*$CY$111, SUM(F467:G467)*$CY$112, SUM(F574:G574)*$CY$113, SUM(F681:G681)*$CY$114)/config!$AC$16</f>
        <v>0.2</v>
      </c>
      <c r="DB35" s="68">
        <f>SUM(H39*$CY$108, H146*$CY$109, H253*$CY$110, H360*$CY$111, H467*$CY$112, H574*$CY$113, H681*$CY$114)/config!$AC$16</f>
        <v>0</v>
      </c>
      <c r="DC35" s="69">
        <f>SUM(SUM(I39:L39)*$CY$108, SUM(I146:L146)*$CY$109, SUM(I253:L253)*$CY$110, SUM(I360:L360)*$CY$111, SUM(I467:L467)*$CY$112, SUM(I574:L574)*$CY$113, SUM(I681:L681)*$CY$114)/config!$AC$16</f>
        <v>0</v>
      </c>
    </row>
    <row r="36" spans="1:107" ht="15" x14ac:dyDescent="0.25">
      <c r="A36" s="440" t="s">
        <v>73</v>
      </c>
      <c r="B36" s="642">
        <v>3</v>
      </c>
      <c r="C36" s="184">
        <v>0</v>
      </c>
      <c r="D36" s="184">
        <v>3</v>
      </c>
      <c r="E36" s="184">
        <v>0</v>
      </c>
      <c r="F36" s="184">
        <v>0</v>
      </c>
      <c r="G36" s="184">
        <v>0</v>
      </c>
      <c r="H36" s="184">
        <v>0</v>
      </c>
      <c r="I36" s="184">
        <v>0</v>
      </c>
      <c r="J36" s="184">
        <v>0</v>
      </c>
      <c r="K36" s="184">
        <v>0</v>
      </c>
      <c r="L36" s="184">
        <v>0</v>
      </c>
      <c r="M36" s="654" t="s">
        <v>24</v>
      </c>
      <c r="N36" s="670" t="s">
        <v>73</v>
      </c>
      <c r="O36" s="642">
        <v>0</v>
      </c>
      <c r="P36" s="184">
        <v>0</v>
      </c>
      <c r="Q36" s="184">
        <v>0</v>
      </c>
      <c r="R36" s="184">
        <v>0</v>
      </c>
      <c r="S36" s="184">
        <v>0</v>
      </c>
      <c r="T36" s="184">
        <v>0</v>
      </c>
      <c r="U36" s="184">
        <v>0</v>
      </c>
      <c r="V36" s="184">
        <v>1</v>
      </c>
      <c r="W36" s="184">
        <v>2</v>
      </c>
      <c r="X36" s="184">
        <v>0</v>
      </c>
      <c r="Y36" s="184">
        <v>0</v>
      </c>
      <c r="Z36" s="184">
        <v>0</v>
      </c>
      <c r="AA36" s="184">
        <v>0</v>
      </c>
      <c r="AB36" s="184">
        <v>0</v>
      </c>
      <c r="AC36" s="185">
        <v>45.7</v>
      </c>
      <c r="AD36" s="185" t="s">
        <v>24</v>
      </c>
      <c r="AE36" s="184">
        <v>0</v>
      </c>
      <c r="AF36" s="185">
        <v>0</v>
      </c>
      <c r="AG36" s="184">
        <v>0</v>
      </c>
      <c r="AH36" s="185">
        <v>0</v>
      </c>
      <c r="AI36" s="184">
        <v>0</v>
      </c>
      <c r="AJ36" s="643">
        <v>0</v>
      </c>
      <c r="AP36" s="401">
        <f t="shared" si="40"/>
        <v>0</v>
      </c>
      <c r="AR36" s="56">
        <f t="shared" si="41"/>
        <v>0.26041666666666657</v>
      </c>
      <c r="AS36" s="67">
        <f>SUM(C40,C147,C254,C361,C468,C575,C682)/config!$AC$13</f>
        <v>0</v>
      </c>
      <c r="AT36" s="68">
        <f>SUM(D40:E40,D147:E147,D254:E254,D361:E361,D468:E468,D575:E575,D682:E682)/config!$AC$13</f>
        <v>3.8571428571428572</v>
      </c>
      <c r="AU36" s="68">
        <f>SUM(F40:G40,F147:G147,F254:G254,F361:G361,F468:G468,F575:G575,F682:G682)/config!$AC$13</f>
        <v>0</v>
      </c>
      <c r="AV36" s="68">
        <f>SUM(H40,H147,H254,H361,H468,H575,H682)/config!$AC$13</f>
        <v>0</v>
      </c>
      <c r="AW36" s="69">
        <f>SUM(I40:L40,I147:L147,I254:L254,I361:L361,I468:L468,I575:L575,I682:L682)/config!$AC$13</f>
        <v>0</v>
      </c>
      <c r="AY36" s="56">
        <f t="shared" si="42"/>
        <v>0.26041666666666657</v>
      </c>
      <c r="AZ36" s="70">
        <f t="shared" si="8"/>
        <v>5</v>
      </c>
      <c r="BA36" s="71">
        <f t="shared" si="9"/>
        <v>4</v>
      </c>
      <c r="BB36" s="71">
        <f t="shared" si="10"/>
        <v>6</v>
      </c>
      <c r="BC36" s="71">
        <f t="shared" si="11"/>
        <v>3</v>
      </c>
      <c r="BD36" s="71">
        <f t="shared" si="12"/>
        <v>3</v>
      </c>
      <c r="BE36" s="71">
        <f t="shared" si="13"/>
        <v>0</v>
      </c>
      <c r="BF36" s="72">
        <f t="shared" si="14"/>
        <v>6</v>
      </c>
      <c r="BG36" s="45"/>
      <c r="BH36" s="56">
        <f t="shared" si="15"/>
        <v>0.26041666666666657</v>
      </c>
      <c r="BI36" s="67">
        <f t="shared" si="16"/>
        <v>46</v>
      </c>
      <c r="BJ36" s="68">
        <f t="shared" si="17"/>
        <v>39.799999999999997</v>
      </c>
      <c r="BK36" s="68">
        <f t="shared" si="18"/>
        <v>41.3</v>
      </c>
      <c r="BL36" s="68">
        <f t="shared" si="19"/>
        <v>42.2</v>
      </c>
      <c r="BM36" s="68">
        <f t="shared" si="20"/>
        <v>41.5</v>
      </c>
      <c r="BN36" s="68" t="str">
        <f t="shared" si="21"/>
        <v/>
      </c>
      <c r="BO36" s="69">
        <f t="shared" si="22"/>
        <v>48.4</v>
      </c>
      <c r="BP36" s="63"/>
      <c r="BQ36" s="64">
        <f t="shared" si="23"/>
        <v>0.26041666666666657</v>
      </c>
      <c r="BR36" s="67" t="str">
        <f t="shared" si="24"/>
        <v/>
      </c>
      <c r="BS36" s="68" t="str">
        <f t="shared" si="25"/>
        <v/>
      </c>
      <c r="BT36" s="68" t="str">
        <f t="shared" si="26"/>
        <v/>
      </c>
      <c r="BU36" s="68" t="str">
        <f t="shared" si="27"/>
        <v/>
      </c>
      <c r="BV36" s="68" t="str">
        <f t="shared" si="28"/>
        <v/>
      </c>
      <c r="BW36" s="68" t="str">
        <f t="shared" si="29"/>
        <v/>
      </c>
      <c r="BX36" s="69" t="str">
        <f t="shared" si="30"/>
        <v/>
      </c>
      <c r="BY36" s="65"/>
      <c r="BZ36" s="66">
        <f t="shared" si="43"/>
        <v>43.199999999999996</v>
      </c>
      <c r="CA36" s="414" t="e">
        <f t="shared" si="31"/>
        <v>#N/A</v>
      </c>
      <c r="CB36" s="416">
        <f t="shared" si="48"/>
        <v>60</v>
      </c>
      <c r="CC36" s="65"/>
      <c r="CD36" s="67">
        <f t="shared" si="32"/>
        <v>1</v>
      </c>
      <c r="CE36" s="68">
        <f t="shared" si="33"/>
        <v>0</v>
      </c>
      <c r="CF36" s="68">
        <f t="shared" si="34"/>
        <v>0</v>
      </c>
      <c r="CG36" s="68">
        <f t="shared" si="35"/>
        <v>0</v>
      </c>
      <c r="CH36" s="68">
        <f t="shared" si="36"/>
        <v>0</v>
      </c>
      <c r="CI36" s="68">
        <f t="shared" si="37"/>
        <v>0</v>
      </c>
      <c r="CJ36" s="69">
        <f t="shared" si="38"/>
        <v>1</v>
      </c>
      <c r="CM36" s="67">
        <f t="shared" si="44"/>
        <v>230</v>
      </c>
      <c r="CN36" s="68">
        <f t="shared" si="49"/>
        <v>159.19999999999999</v>
      </c>
      <c r="CO36" s="68">
        <f t="shared" si="50"/>
        <v>247.79999999999998</v>
      </c>
      <c r="CP36" s="68">
        <f t="shared" si="51"/>
        <v>126.60000000000001</v>
      </c>
      <c r="CQ36" s="68">
        <f t="shared" si="52"/>
        <v>124.5</v>
      </c>
      <c r="CR36" s="68" t="str">
        <f t="shared" si="53"/>
        <v/>
      </c>
      <c r="CS36" s="69">
        <f t="shared" si="54"/>
        <v>290.39999999999998</v>
      </c>
      <c r="CU36" s="511">
        <f>SUM(SUMIF($AZ$8:$BF$8, {"NON";"NEUT"}, AZ36:BF36))/config!$AC$16</f>
        <v>4.8</v>
      </c>
      <c r="CV36" s="512">
        <f t="shared" si="45"/>
        <v>0.26041666666666657</v>
      </c>
      <c r="CY36" s="67">
        <f>SUM(C40*$CY$108, C147*$CY$109, C254*$CY$110, C361*$CY$111, C468*$CY$112, C575*$CY$113, C682*$CY$114)/config!$AC$16</f>
        <v>0</v>
      </c>
      <c r="CZ36" s="68">
        <f>SUM(SUM(D40:E40)*$CY$108, SUM(D147:E147)*$CY$109, SUM(D254:E254)*$CY$110, SUM(D361:E361)*$CY$111, SUM(D468:E468)*$CY$112, SUM(D575:E575)*$CY$113, SUM(D682:E682)*$CY$114)/config!$AC$16</f>
        <v>4.8</v>
      </c>
      <c r="DA36" s="68">
        <f>SUM(SUM(F40:G40)*$CY$108, SUM(F147:G147)*$CY$109, SUM(F254:G254)*$CY$110, SUM(F361:G361)*$CY$111, SUM(F468:G468)*$CY$112, SUM(F575:G575)*$CY$113, SUM(F682:G682)*$CY$114)/config!$AC$16</f>
        <v>0</v>
      </c>
      <c r="DB36" s="68">
        <f>SUM(H40*$CY$108, H147*$CY$109, H254*$CY$110, H361*$CY$111, H468*$CY$112, H575*$CY$113, H682*$CY$114)/config!$AC$16</f>
        <v>0</v>
      </c>
      <c r="DC36" s="69">
        <f>SUM(SUM(I40:L40)*$CY$108, SUM(I147:L147)*$CY$109, SUM(I254:L254)*$CY$110, SUM(I361:L361)*$CY$111, SUM(I468:L468)*$CY$112, SUM(I575:L575)*$CY$113, SUM(I682:L682)*$CY$114)/config!$AC$16</f>
        <v>0</v>
      </c>
    </row>
    <row r="37" spans="1:107" ht="15" x14ac:dyDescent="0.25">
      <c r="A37" s="440" t="s">
        <v>75</v>
      </c>
      <c r="B37" s="642">
        <v>6</v>
      </c>
      <c r="C37" s="184">
        <v>0</v>
      </c>
      <c r="D37" s="184">
        <v>6</v>
      </c>
      <c r="E37" s="184">
        <v>0</v>
      </c>
      <c r="F37" s="184">
        <v>0</v>
      </c>
      <c r="G37" s="184">
        <v>0</v>
      </c>
      <c r="H37" s="184">
        <v>0</v>
      </c>
      <c r="I37" s="184">
        <v>0</v>
      </c>
      <c r="J37" s="184">
        <v>0</v>
      </c>
      <c r="K37" s="184">
        <v>0</v>
      </c>
      <c r="L37" s="184">
        <v>0</v>
      </c>
      <c r="M37" s="654" t="s">
        <v>24</v>
      </c>
      <c r="N37" s="670" t="s">
        <v>75</v>
      </c>
      <c r="O37" s="642">
        <v>0</v>
      </c>
      <c r="P37" s="184">
        <v>0</v>
      </c>
      <c r="Q37" s="184">
        <v>0</v>
      </c>
      <c r="R37" s="184">
        <v>0</v>
      </c>
      <c r="S37" s="184">
        <v>0</v>
      </c>
      <c r="T37" s="184">
        <v>0</v>
      </c>
      <c r="U37" s="184">
        <v>1</v>
      </c>
      <c r="V37" s="184">
        <v>1</v>
      </c>
      <c r="W37" s="184">
        <v>2</v>
      </c>
      <c r="X37" s="184">
        <v>1</v>
      </c>
      <c r="Y37" s="184">
        <v>1</v>
      </c>
      <c r="Z37" s="184">
        <v>0</v>
      </c>
      <c r="AA37" s="184">
        <v>0</v>
      </c>
      <c r="AB37" s="184">
        <v>0</v>
      </c>
      <c r="AC37" s="185">
        <v>48.9</v>
      </c>
      <c r="AD37" s="185" t="s">
        <v>24</v>
      </c>
      <c r="AE37" s="184">
        <v>1</v>
      </c>
      <c r="AF37" s="185">
        <v>16.666666666666664</v>
      </c>
      <c r="AG37" s="184">
        <v>0</v>
      </c>
      <c r="AH37" s="185">
        <v>0</v>
      </c>
      <c r="AI37" s="184">
        <v>0</v>
      </c>
      <c r="AJ37" s="643">
        <v>0</v>
      </c>
      <c r="AP37" s="401">
        <f t="shared" si="40"/>
        <v>0</v>
      </c>
      <c r="AR37" s="56">
        <f t="shared" si="41"/>
        <v>0.27083333333333326</v>
      </c>
      <c r="AS37" s="67">
        <f>SUM(C41,C148,C255,C362,C469,C576,C683)/config!$AC$13</f>
        <v>0.14285714285714285</v>
      </c>
      <c r="AT37" s="68">
        <f>SUM(D41:E41,D148:E148,D255:E255,D362:E362,D469:E469,D576:E576,D683:E683)/config!$AC$13</f>
        <v>6.7142857142857144</v>
      </c>
      <c r="AU37" s="68">
        <f>SUM(F41:G41,F148:G148,F255:G255,F362:G362,F469:G469,F576:G576,F683:G683)/config!$AC$13</f>
        <v>0</v>
      </c>
      <c r="AV37" s="68">
        <f>SUM(H41,H148,H255,H362,H469,H576,H683)/config!$AC$13</f>
        <v>0</v>
      </c>
      <c r="AW37" s="69">
        <f>SUM(I41:L41,I148:L148,I255:L255,I362:L362,I469:L469,I576:L576,I683:L683)/config!$AC$13</f>
        <v>0</v>
      </c>
      <c r="AY37" s="56">
        <f t="shared" si="42"/>
        <v>0.27083333333333326</v>
      </c>
      <c r="AZ37" s="70">
        <f t="shared" si="8"/>
        <v>7</v>
      </c>
      <c r="BA37" s="71">
        <f t="shared" si="9"/>
        <v>12</v>
      </c>
      <c r="BB37" s="71">
        <f t="shared" si="10"/>
        <v>8</v>
      </c>
      <c r="BC37" s="71">
        <f t="shared" si="11"/>
        <v>10</v>
      </c>
      <c r="BD37" s="71">
        <f t="shared" si="12"/>
        <v>1</v>
      </c>
      <c r="BE37" s="71">
        <f t="shared" si="13"/>
        <v>1</v>
      </c>
      <c r="BF37" s="72">
        <f t="shared" si="14"/>
        <v>9</v>
      </c>
      <c r="BG37" s="45"/>
      <c r="BH37" s="56">
        <f t="shared" si="15"/>
        <v>0.27083333333333326</v>
      </c>
      <c r="BI37" s="67">
        <f t="shared" si="16"/>
        <v>43.8</v>
      </c>
      <c r="BJ37" s="68">
        <f t="shared" si="17"/>
        <v>47.1</v>
      </c>
      <c r="BK37" s="68">
        <f t="shared" si="18"/>
        <v>44.4</v>
      </c>
      <c r="BL37" s="68">
        <f t="shared" si="19"/>
        <v>40.9</v>
      </c>
      <c r="BM37" s="68">
        <f t="shared" si="20"/>
        <v>36.9</v>
      </c>
      <c r="BN37" s="68">
        <f t="shared" si="21"/>
        <v>51.1</v>
      </c>
      <c r="BO37" s="69">
        <f t="shared" si="22"/>
        <v>43.9</v>
      </c>
      <c r="BP37" s="63"/>
      <c r="BQ37" s="64">
        <f t="shared" si="23"/>
        <v>0.27083333333333326</v>
      </c>
      <c r="BR37" s="67" t="str">
        <f t="shared" si="24"/>
        <v/>
      </c>
      <c r="BS37" s="68">
        <f t="shared" si="25"/>
        <v>51.8</v>
      </c>
      <c r="BT37" s="68" t="str">
        <f t="shared" si="26"/>
        <v/>
      </c>
      <c r="BU37" s="68" t="str">
        <f t="shared" si="27"/>
        <v/>
      </c>
      <c r="BV37" s="68" t="str">
        <f t="shared" si="28"/>
        <v/>
      </c>
      <c r="BW37" s="68" t="str">
        <f t="shared" si="29"/>
        <v/>
      </c>
      <c r="BX37" s="69" t="str">
        <f t="shared" si="30"/>
        <v/>
      </c>
      <c r="BY37" s="65"/>
      <c r="BZ37" s="66">
        <f t="shared" si="43"/>
        <v>44.01428571428572</v>
      </c>
      <c r="CA37" s="414">
        <f t="shared" si="31"/>
        <v>51.8</v>
      </c>
      <c r="CB37" s="416">
        <f t="shared" si="48"/>
        <v>60</v>
      </c>
      <c r="CC37" s="65"/>
      <c r="CD37" s="67">
        <f t="shared" si="32"/>
        <v>0</v>
      </c>
      <c r="CE37" s="68">
        <f t="shared" si="33"/>
        <v>1</v>
      </c>
      <c r="CF37" s="68">
        <f t="shared" si="34"/>
        <v>0</v>
      </c>
      <c r="CG37" s="68">
        <f t="shared" si="35"/>
        <v>0</v>
      </c>
      <c r="CH37" s="68">
        <f t="shared" si="36"/>
        <v>0</v>
      </c>
      <c r="CI37" s="68">
        <f t="shared" si="37"/>
        <v>0</v>
      </c>
      <c r="CJ37" s="69">
        <f t="shared" si="38"/>
        <v>0</v>
      </c>
      <c r="CM37" s="67">
        <f t="shared" si="44"/>
        <v>306.59999999999997</v>
      </c>
      <c r="CN37" s="68">
        <f t="shared" si="49"/>
        <v>565.20000000000005</v>
      </c>
      <c r="CO37" s="68">
        <f t="shared" si="50"/>
        <v>355.2</v>
      </c>
      <c r="CP37" s="68">
        <f t="shared" si="51"/>
        <v>409</v>
      </c>
      <c r="CQ37" s="68">
        <f t="shared" si="52"/>
        <v>36.9</v>
      </c>
      <c r="CR37" s="68">
        <f t="shared" si="53"/>
        <v>51.1</v>
      </c>
      <c r="CS37" s="69">
        <f t="shared" si="54"/>
        <v>395.09999999999997</v>
      </c>
      <c r="CU37" s="511">
        <f>SUM(SUMIF($AZ$8:$BF$8, {"NON";"NEUT"}, AZ37:BF37))/config!$AC$16</f>
        <v>9.1999999999999993</v>
      </c>
      <c r="CV37" s="512">
        <f t="shared" si="45"/>
        <v>0.27083333333333326</v>
      </c>
      <c r="CY37" s="67">
        <f>SUM(C41*$CY$108, C148*$CY$109, C255*$CY$110, C362*$CY$111, C469*$CY$112, C576*$CY$113, C683*$CY$114)/config!$AC$16</f>
        <v>0.2</v>
      </c>
      <c r="CZ37" s="68">
        <f>SUM(SUM(D41:E41)*$CY$108, SUM(D148:E148)*$CY$109, SUM(D255:E255)*$CY$110, SUM(D362:E362)*$CY$111, SUM(D469:E469)*$CY$112, SUM(D576:E576)*$CY$113, SUM(D683:E683)*$CY$114)/config!$AC$16</f>
        <v>9</v>
      </c>
      <c r="DA37" s="68">
        <f>SUM(SUM(F41:G41)*$CY$108, SUM(F148:G148)*$CY$109, SUM(F255:G255)*$CY$110, SUM(F362:G362)*$CY$111, SUM(F469:G469)*$CY$112, SUM(F576:G576)*$CY$113, SUM(F683:G683)*$CY$114)/config!$AC$16</f>
        <v>0</v>
      </c>
      <c r="DB37" s="68">
        <f>SUM(H41*$CY$108, H148*$CY$109, H255*$CY$110, H362*$CY$111, H469*$CY$112, H576*$CY$113, H683*$CY$114)/config!$AC$16</f>
        <v>0</v>
      </c>
      <c r="DC37" s="69">
        <f>SUM(SUM(I41:L41)*$CY$108, SUM(I148:L148)*$CY$109, SUM(I255:L255)*$CY$110, SUM(I362:L362)*$CY$111, SUM(I469:L469)*$CY$112, SUM(I576:L576)*$CY$113, SUM(I683:L683)*$CY$114)/config!$AC$16</f>
        <v>0</v>
      </c>
    </row>
    <row r="38" spans="1:107" ht="15.75" thickBot="1" x14ac:dyDescent="0.3">
      <c r="A38" s="440" t="s">
        <v>77</v>
      </c>
      <c r="B38" s="644">
        <v>3</v>
      </c>
      <c r="C38" s="188">
        <v>0</v>
      </c>
      <c r="D38" s="188">
        <v>3</v>
      </c>
      <c r="E38" s="188">
        <v>0</v>
      </c>
      <c r="F38" s="188">
        <v>0</v>
      </c>
      <c r="G38" s="188">
        <v>0</v>
      </c>
      <c r="H38" s="188">
        <v>0</v>
      </c>
      <c r="I38" s="188">
        <v>0</v>
      </c>
      <c r="J38" s="188">
        <v>0</v>
      </c>
      <c r="K38" s="188">
        <v>0</v>
      </c>
      <c r="L38" s="188">
        <v>0</v>
      </c>
      <c r="M38" s="655" t="s">
        <v>24</v>
      </c>
      <c r="N38" s="670" t="s">
        <v>77</v>
      </c>
      <c r="O38" s="644">
        <v>0</v>
      </c>
      <c r="P38" s="188">
        <v>0</v>
      </c>
      <c r="Q38" s="188">
        <v>0</v>
      </c>
      <c r="R38" s="188">
        <v>0</v>
      </c>
      <c r="S38" s="188">
        <v>0</v>
      </c>
      <c r="T38" s="188">
        <v>0</v>
      </c>
      <c r="U38" s="188">
        <v>0</v>
      </c>
      <c r="V38" s="188">
        <v>1</v>
      </c>
      <c r="W38" s="188">
        <v>1</v>
      </c>
      <c r="X38" s="188">
        <v>1</v>
      </c>
      <c r="Y38" s="188">
        <v>0</v>
      </c>
      <c r="Z38" s="188">
        <v>0</v>
      </c>
      <c r="AA38" s="188">
        <v>0</v>
      </c>
      <c r="AB38" s="188">
        <v>0</v>
      </c>
      <c r="AC38" s="189">
        <v>47.7</v>
      </c>
      <c r="AD38" s="189" t="s">
        <v>24</v>
      </c>
      <c r="AE38" s="188">
        <v>0</v>
      </c>
      <c r="AF38" s="189">
        <v>0</v>
      </c>
      <c r="AG38" s="188">
        <v>0</v>
      </c>
      <c r="AH38" s="189">
        <v>0</v>
      </c>
      <c r="AI38" s="188">
        <v>0</v>
      </c>
      <c r="AJ38" s="645">
        <v>0</v>
      </c>
      <c r="AP38" s="401">
        <f t="shared" si="40"/>
        <v>4</v>
      </c>
      <c r="AR38" s="56">
        <f t="shared" si="41"/>
        <v>0.28124999999999994</v>
      </c>
      <c r="AS38" s="67">
        <f>SUM(C42,C149,C256,C363,C470,C577,C684)/config!$AC$13</f>
        <v>0.14285714285714285</v>
      </c>
      <c r="AT38" s="68">
        <f>SUM(D42:E42,D149:E149,D256:E256,D363:E363,D470:E470,D577:E577,D684:E684)/config!$AC$13</f>
        <v>9.5714285714285712</v>
      </c>
      <c r="AU38" s="68">
        <f>SUM(F42:G42,F149:G149,F256:G256,F363:G363,F470:G470,F577:G577,F684:G684)/config!$AC$13</f>
        <v>0.5714285714285714</v>
      </c>
      <c r="AV38" s="68">
        <f>SUM(H42,H149,H256,H363,H470,H577,H684)/config!$AC$13</f>
        <v>0</v>
      </c>
      <c r="AW38" s="69">
        <f>SUM(I42:L42,I149:L149,I256:L256,I363:L363,I470:L470,I577:L577,I684:L684)/config!$AC$13</f>
        <v>0</v>
      </c>
      <c r="AY38" s="56">
        <f t="shared" si="42"/>
        <v>0.28124999999999994</v>
      </c>
      <c r="AZ38" s="70">
        <f t="shared" si="8"/>
        <v>10</v>
      </c>
      <c r="BA38" s="71">
        <f t="shared" si="9"/>
        <v>13</v>
      </c>
      <c r="BB38" s="71">
        <f t="shared" si="10"/>
        <v>17</v>
      </c>
      <c r="BC38" s="71">
        <f t="shared" si="11"/>
        <v>15</v>
      </c>
      <c r="BD38" s="71">
        <f t="shared" si="12"/>
        <v>6</v>
      </c>
      <c r="BE38" s="71">
        <f t="shared" si="13"/>
        <v>2</v>
      </c>
      <c r="BF38" s="72">
        <f t="shared" si="14"/>
        <v>9</v>
      </c>
      <c r="BG38" s="45"/>
      <c r="BH38" s="56">
        <f t="shared" si="15"/>
        <v>0.28124999999999994</v>
      </c>
      <c r="BI38" s="67">
        <f t="shared" si="16"/>
        <v>45.8</v>
      </c>
      <c r="BJ38" s="68">
        <f t="shared" si="17"/>
        <v>43.1</v>
      </c>
      <c r="BK38" s="68">
        <f t="shared" si="18"/>
        <v>40.5</v>
      </c>
      <c r="BL38" s="68">
        <f t="shared" si="19"/>
        <v>45.2</v>
      </c>
      <c r="BM38" s="68">
        <f t="shared" si="20"/>
        <v>46.3</v>
      </c>
      <c r="BN38" s="68">
        <f t="shared" si="21"/>
        <v>43.4</v>
      </c>
      <c r="BO38" s="69">
        <f t="shared" si="22"/>
        <v>41.7</v>
      </c>
      <c r="BP38" s="63"/>
      <c r="BQ38" s="64">
        <f t="shared" si="23"/>
        <v>0.28124999999999994</v>
      </c>
      <c r="BR38" s="67" t="str">
        <f t="shared" si="24"/>
        <v/>
      </c>
      <c r="BS38" s="68">
        <f t="shared" si="25"/>
        <v>48.2</v>
      </c>
      <c r="BT38" s="68">
        <f t="shared" si="26"/>
        <v>48.3</v>
      </c>
      <c r="BU38" s="68">
        <f t="shared" si="27"/>
        <v>52</v>
      </c>
      <c r="BV38" s="68" t="str">
        <f t="shared" si="28"/>
        <v/>
      </c>
      <c r="BW38" s="68" t="str">
        <f t="shared" si="29"/>
        <v/>
      </c>
      <c r="BX38" s="69" t="str">
        <f t="shared" si="30"/>
        <v/>
      </c>
      <c r="BY38" s="65"/>
      <c r="BZ38" s="66">
        <f t="shared" si="43"/>
        <v>43.714285714285715</v>
      </c>
      <c r="CA38" s="414">
        <f t="shared" si="31"/>
        <v>49.5</v>
      </c>
      <c r="CB38" s="416">
        <f t="shared" si="48"/>
        <v>60</v>
      </c>
      <c r="CC38" s="65"/>
      <c r="CD38" s="67">
        <f t="shared" si="32"/>
        <v>1</v>
      </c>
      <c r="CE38" s="68">
        <f t="shared" si="33"/>
        <v>0</v>
      </c>
      <c r="CF38" s="68">
        <f t="shared" si="34"/>
        <v>0</v>
      </c>
      <c r="CG38" s="68">
        <f t="shared" si="35"/>
        <v>1</v>
      </c>
      <c r="CH38" s="68">
        <f t="shared" si="36"/>
        <v>0</v>
      </c>
      <c r="CI38" s="68">
        <f t="shared" si="37"/>
        <v>0</v>
      </c>
      <c r="CJ38" s="69">
        <f t="shared" si="38"/>
        <v>0</v>
      </c>
      <c r="CM38" s="67">
        <f t="shared" si="44"/>
        <v>458</v>
      </c>
      <c r="CN38" s="68">
        <f t="shared" si="49"/>
        <v>560.30000000000007</v>
      </c>
      <c r="CO38" s="68">
        <f t="shared" si="50"/>
        <v>688.5</v>
      </c>
      <c r="CP38" s="68">
        <f t="shared" si="51"/>
        <v>678</v>
      </c>
      <c r="CQ38" s="68">
        <f t="shared" si="52"/>
        <v>277.79999999999995</v>
      </c>
      <c r="CR38" s="68">
        <f t="shared" si="53"/>
        <v>86.8</v>
      </c>
      <c r="CS38" s="69">
        <f t="shared" si="54"/>
        <v>375.3</v>
      </c>
      <c r="CU38" s="511">
        <f>SUM(SUMIF($AZ$8:$BF$8, {"NON";"NEUT"}, AZ38:BF38))/config!$AC$16</f>
        <v>12.8</v>
      </c>
      <c r="CV38" s="512">
        <f t="shared" si="45"/>
        <v>0.28124999999999994</v>
      </c>
      <c r="CY38" s="67">
        <f>SUM(C42*$CY$108, C149*$CY$109, C256*$CY$110, C363*$CY$111, C470*$CY$112, C577*$CY$113, C684*$CY$114)/config!$AC$16</f>
        <v>0.2</v>
      </c>
      <c r="CZ38" s="68">
        <f>SUM(SUM(D42:E42)*$CY$108, SUM(D149:E149)*$CY$109, SUM(D256:E256)*$CY$110, SUM(D363:E363)*$CY$111, SUM(D470:E470)*$CY$112, SUM(D577:E577)*$CY$113, SUM(D684:E684)*$CY$114)/config!$AC$16</f>
        <v>11.8</v>
      </c>
      <c r="DA38" s="68">
        <f>SUM(SUM(F42:G42)*$CY$108, SUM(F149:G149)*$CY$109, SUM(F256:G256)*$CY$110, SUM(F363:G363)*$CY$111, SUM(F470:G470)*$CY$112, SUM(F577:G577)*$CY$113, SUM(F684:G684)*$CY$114)/config!$AC$16</f>
        <v>0.8</v>
      </c>
      <c r="DB38" s="68">
        <f>SUM(H42*$CY$108, H149*$CY$109, H256*$CY$110, H363*$CY$111, H470*$CY$112, H577*$CY$113, H684*$CY$114)/config!$AC$16</f>
        <v>0</v>
      </c>
      <c r="DC38" s="69">
        <f>SUM(SUM(I42:L42)*$CY$108, SUM(I149:L149)*$CY$109, SUM(I256:L256)*$CY$110, SUM(I363:L363)*$CY$111, SUM(I470:L470)*$CY$112, SUM(I577:L577)*$CY$113, SUM(I684:L684)*$CY$114)/config!$AC$16</f>
        <v>0</v>
      </c>
    </row>
    <row r="39" spans="1:107" ht="15" x14ac:dyDescent="0.25">
      <c r="A39" s="440" t="s">
        <v>48</v>
      </c>
      <c r="B39" s="642">
        <v>3</v>
      </c>
      <c r="C39" s="184">
        <v>0</v>
      </c>
      <c r="D39" s="184">
        <v>3</v>
      </c>
      <c r="E39" s="184">
        <v>0</v>
      </c>
      <c r="F39" s="184">
        <v>0</v>
      </c>
      <c r="G39" s="184">
        <v>0</v>
      </c>
      <c r="H39" s="184">
        <v>0</v>
      </c>
      <c r="I39" s="184">
        <v>0</v>
      </c>
      <c r="J39" s="184">
        <v>0</v>
      </c>
      <c r="K39" s="184">
        <v>0</v>
      </c>
      <c r="L39" s="184">
        <v>0</v>
      </c>
      <c r="M39" s="654" t="s">
        <v>24</v>
      </c>
      <c r="N39" s="670" t="s">
        <v>48</v>
      </c>
      <c r="O39" s="642">
        <v>0</v>
      </c>
      <c r="P39" s="184">
        <v>0</v>
      </c>
      <c r="Q39" s="184">
        <v>0</v>
      </c>
      <c r="R39" s="184">
        <v>0</v>
      </c>
      <c r="S39" s="184">
        <v>0</v>
      </c>
      <c r="T39" s="184">
        <v>0</v>
      </c>
      <c r="U39" s="184">
        <v>1</v>
      </c>
      <c r="V39" s="184">
        <v>1</v>
      </c>
      <c r="W39" s="184">
        <v>0</v>
      </c>
      <c r="X39" s="184">
        <v>1</v>
      </c>
      <c r="Y39" s="184">
        <v>0</v>
      </c>
      <c r="Z39" s="184">
        <v>0</v>
      </c>
      <c r="AA39" s="184">
        <v>0</v>
      </c>
      <c r="AB39" s="184">
        <v>0</v>
      </c>
      <c r="AC39" s="185">
        <v>45.4</v>
      </c>
      <c r="AD39" s="185" t="s">
        <v>24</v>
      </c>
      <c r="AE39" s="184">
        <v>0</v>
      </c>
      <c r="AF39" s="185">
        <v>0</v>
      </c>
      <c r="AG39" s="184">
        <v>0</v>
      </c>
      <c r="AH39" s="185">
        <v>0</v>
      </c>
      <c r="AI39" s="184">
        <v>0</v>
      </c>
      <c r="AJ39" s="643">
        <v>0</v>
      </c>
      <c r="AP39" s="401">
        <f t="shared" si="40"/>
        <v>4</v>
      </c>
      <c r="AR39" s="56">
        <f t="shared" si="41"/>
        <v>0.29166666666666663</v>
      </c>
      <c r="AS39" s="73">
        <f>SUM(C43,C150,C257,C364,C471,C578,C685)/config!$AC$13</f>
        <v>0</v>
      </c>
      <c r="AT39" s="74">
        <f>SUM(D43:E43,D150:E150,D257:E257,D364:E364,D471:E471,D578:E578,D685:E685)/config!$AC$13</f>
        <v>9.4285714285714288</v>
      </c>
      <c r="AU39" s="74">
        <f>SUM(F43:G43,F150:G150,F257:G257,F364:G364,F471:G471,F578:G578,F685:G685)/config!$AC$13</f>
        <v>0.5714285714285714</v>
      </c>
      <c r="AV39" s="74">
        <f>SUM(H43,H150,H257,H364,H471,H578,H685)/config!$AC$13</f>
        <v>0</v>
      </c>
      <c r="AW39" s="75">
        <f>SUM(I43:L43,I150:L150,I257:L257,I364:L364,I471:L471,I578:L578,I685:L685)/config!$AC$13</f>
        <v>0.14285714285714285</v>
      </c>
      <c r="AY39" s="56">
        <f t="shared" si="42"/>
        <v>0.29166666666666663</v>
      </c>
      <c r="AZ39" s="76">
        <f t="shared" si="8"/>
        <v>14</v>
      </c>
      <c r="BA39" s="77">
        <f t="shared" si="9"/>
        <v>12</v>
      </c>
      <c r="BB39" s="77">
        <f t="shared" si="10"/>
        <v>12</v>
      </c>
      <c r="BC39" s="77">
        <f t="shared" si="11"/>
        <v>10</v>
      </c>
      <c r="BD39" s="77">
        <f t="shared" si="12"/>
        <v>3</v>
      </c>
      <c r="BE39" s="77">
        <f t="shared" si="13"/>
        <v>3</v>
      </c>
      <c r="BF39" s="78">
        <f t="shared" si="14"/>
        <v>17</v>
      </c>
      <c r="BG39" s="45"/>
      <c r="BH39" s="56">
        <f t="shared" si="15"/>
        <v>0.29166666666666663</v>
      </c>
      <c r="BI39" s="73">
        <f t="shared" si="16"/>
        <v>41</v>
      </c>
      <c r="BJ39" s="74">
        <f t="shared" si="17"/>
        <v>47.5</v>
      </c>
      <c r="BK39" s="74">
        <f t="shared" si="18"/>
        <v>44.2</v>
      </c>
      <c r="BL39" s="74">
        <f t="shared" si="19"/>
        <v>45.7</v>
      </c>
      <c r="BM39" s="74">
        <f t="shared" si="20"/>
        <v>42.9</v>
      </c>
      <c r="BN39" s="74">
        <f t="shared" si="21"/>
        <v>44.7</v>
      </c>
      <c r="BO39" s="75">
        <f t="shared" si="22"/>
        <v>44.9</v>
      </c>
      <c r="BP39" s="63"/>
      <c r="BQ39" s="64">
        <f t="shared" si="23"/>
        <v>0.29166666666666663</v>
      </c>
      <c r="BR39" s="73">
        <f t="shared" si="24"/>
        <v>46.4</v>
      </c>
      <c r="BS39" s="74">
        <f t="shared" si="25"/>
        <v>53.3</v>
      </c>
      <c r="BT39" s="74">
        <f t="shared" si="26"/>
        <v>51.1</v>
      </c>
      <c r="BU39" s="74" t="str">
        <f t="shared" si="27"/>
        <v/>
      </c>
      <c r="BV39" s="74" t="str">
        <f t="shared" si="28"/>
        <v/>
      </c>
      <c r="BW39" s="74" t="str">
        <f t="shared" si="29"/>
        <v/>
      </c>
      <c r="BX39" s="75">
        <f t="shared" si="30"/>
        <v>53.5</v>
      </c>
      <c r="BY39" s="65"/>
      <c r="BZ39" s="66">
        <f t="shared" si="43"/>
        <v>44.414285714285711</v>
      </c>
      <c r="CA39" s="414">
        <f t="shared" si="31"/>
        <v>51.074999999999996</v>
      </c>
      <c r="CB39" s="416">
        <f t="shared" si="48"/>
        <v>60</v>
      </c>
      <c r="CC39" s="65"/>
      <c r="CD39" s="73">
        <f t="shared" si="32"/>
        <v>0</v>
      </c>
      <c r="CE39" s="74">
        <f t="shared" si="33"/>
        <v>1</v>
      </c>
      <c r="CF39" s="74">
        <f t="shared" si="34"/>
        <v>0</v>
      </c>
      <c r="CG39" s="74">
        <f t="shared" si="35"/>
        <v>1</v>
      </c>
      <c r="CH39" s="74">
        <f t="shared" si="36"/>
        <v>0</v>
      </c>
      <c r="CI39" s="74">
        <f t="shared" si="37"/>
        <v>0</v>
      </c>
      <c r="CJ39" s="75">
        <f t="shared" si="38"/>
        <v>0</v>
      </c>
      <c r="CM39" s="73">
        <f t="shared" si="44"/>
        <v>574</v>
      </c>
      <c r="CN39" s="74">
        <f t="shared" si="49"/>
        <v>570</v>
      </c>
      <c r="CO39" s="74">
        <f t="shared" si="50"/>
        <v>530.40000000000009</v>
      </c>
      <c r="CP39" s="74">
        <f t="shared" si="51"/>
        <v>457</v>
      </c>
      <c r="CQ39" s="74">
        <f t="shared" si="52"/>
        <v>128.69999999999999</v>
      </c>
      <c r="CR39" s="74">
        <f t="shared" si="53"/>
        <v>134.10000000000002</v>
      </c>
      <c r="CS39" s="75">
        <f t="shared" si="54"/>
        <v>763.3</v>
      </c>
      <c r="CU39" s="511">
        <f>SUM(SUMIF($AZ$8:$BF$8, {"NON";"NEUT"}, AZ39:BF39))/config!$AC$16</f>
        <v>13</v>
      </c>
      <c r="CV39" s="512">
        <f t="shared" si="45"/>
        <v>0.29166666666666663</v>
      </c>
      <c r="CY39" s="73">
        <f>SUM(C43*$CY$108, C150*$CY$109, C257*$CY$110, C364*$CY$111, C471*$CY$112, C578*$CY$113, C685*$CY$114)/config!$AC$16</f>
        <v>0</v>
      </c>
      <c r="CZ39" s="74">
        <f>SUM(SUM(D43:E43)*$CY$108, SUM(D150:E150)*$CY$109, SUM(D257:E257)*$CY$110, SUM(D364:E364)*$CY$111, SUM(D471:E471)*$CY$112, SUM(D578:E578)*$CY$113, SUM(D685:E685)*$CY$114)/config!$AC$16</f>
        <v>12</v>
      </c>
      <c r="DA39" s="74">
        <f>SUM(SUM(F43:G43)*$CY$108, SUM(F150:G150)*$CY$109, SUM(F257:G257)*$CY$110, SUM(F364:G364)*$CY$111, SUM(F471:G471)*$CY$112, SUM(F578:G578)*$CY$113, SUM(F685:G685)*$CY$114)/config!$AC$16</f>
        <v>0.8</v>
      </c>
      <c r="DB39" s="74">
        <f>SUM(H43*$CY$108, H150*$CY$109, H257*$CY$110, H364*$CY$111, H471*$CY$112, H578*$CY$113, H685*$CY$114)/config!$AC$16</f>
        <v>0</v>
      </c>
      <c r="DC39" s="75">
        <f>SUM(SUM(I43:L43)*$CY$108, SUM(I150:L150)*$CY$109, SUM(I257:L257)*$CY$110, SUM(I364:L364)*$CY$111, SUM(I471:L471)*$CY$112, SUM(I578:L578)*$CY$113, SUM(I685:L685)*$CY$114)/config!$AC$16</f>
        <v>0.2</v>
      </c>
    </row>
    <row r="40" spans="1:107" ht="15" x14ac:dyDescent="0.25">
      <c r="A40" s="440" t="s">
        <v>79</v>
      </c>
      <c r="B40" s="642">
        <v>5</v>
      </c>
      <c r="C40" s="184">
        <v>0</v>
      </c>
      <c r="D40" s="184">
        <v>5</v>
      </c>
      <c r="E40" s="184">
        <v>0</v>
      </c>
      <c r="F40" s="184">
        <v>0</v>
      </c>
      <c r="G40" s="184">
        <v>0</v>
      </c>
      <c r="H40" s="184">
        <v>0</v>
      </c>
      <c r="I40" s="184">
        <v>0</v>
      </c>
      <c r="J40" s="184">
        <v>0</v>
      </c>
      <c r="K40" s="184">
        <v>0</v>
      </c>
      <c r="L40" s="184">
        <v>0</v>
      </c>
      <c r="M40" s="654" t="s">
        <v>24</v>
      </c>
      <c r="N40" s="670" t="s">
        <v>79</v>
      </c>
      <c r="O40" s="642">
        <v>0</v>
      </c>
      <c r="P40" s="184">
        <v>0</v>
      </c>
      <c r="Q40" s="184">
        <v>0</v>
      </c>
      <c r="R40" s="184">
        <v>0</v>
      </c>
      <c r="S40" s="184">
        <v>0</v>
      </c>
      <c r="T40" s="184">
        <v>0</v>
      </c>
      <c r="U40" s="184">
        <v>2</v>
      </c>
      <c r="V40" s="184">
        <v>1</v>
      </c>
      <c r="W40" s="184">
        <v>1</v>
      </c>
      <c r="X40" s="184">
        <v>0</v>
      </c>
      <c r="Y40" s="184">
        <v>1</v>
      </c>
      <c r="Z40" s="184">
        <v>0</v>
      </c>
      <c r="AA40" s="184">
        <v>0</v>
      </c>
      <c r="AB40" s="184">
        <v>0</v>
      </c>
      <c r="AC40" s="185">
        <v>46</v>
      </c>
      <c r="AD40" s="185" t="s">
        <v>24</v>
      </c>
      <c r="AE40" s="184">
        <v>1</v>
      </c>
      <c r="AF40" s="185">
        <v>20</v>
      </c>
      <c r="AG40" s="184">
        <v>0</v>
      </c>
      <c r="AH40" s="185">
        <v>0</v>
      </c>
      <c r="AI40" s="184">
        <v>0</v>
      </c>
      <c r="AJ40" s="643">
        <v>0</v>
      </c>
      <c r="AP40" s="401">
        <f t="shared" si="40"/>
        <v>7</v>
      </c>
      <c r="AR40" s="56">
        <f t="shared" si="41"/>
        <v>0.30208333333333331</v>
      </c>
      <c r="AS40" s="67">
        <f>SUM(C44,C151,C258,C365,C472,C579,C686)/config!$AC$13</f>
        <v>0</v>
      </c>
      <c r="AT40" s="68">
        <f>SUM(D44:E44,D151:E151,D258:E258,D365:E365,D472:E472,D579:E579,D686:E686)/config!$AC$13</f>
        <v>11.285714285714286</v>
      </c>
      <c r="AU40" s="68">
        <f>SUM(F44:G44,F151:G151,F258:G258,F365:G365,F472:G472,F579:G579,F686:G686)/config!$AC$13</f>
        <v>1</v>
      </c>
      <c r="AV40" s="68">
        <f>SUM(H44,H151,H258,H365,H472,H579,H686)/config!$AC$13</f>
        <v>0</v>
      </c>
      <c r="AW40" s="69">
        <f>SUM(I44:L44,I151:L151,I258:L258,I365:L365,I472:L472,I579:L579,I686:L686)/config!$AC$13</f>
        <v>0</v>
      </c>
      <c r="AY40" s="56">
        <f t="shared" si="42"/>
        <v>0.30208333333333331</v>
      </c>
      <c r="AZ40" s="70">
        <f t="shared" si="8"/>
        <v>13</v>
      </c>
      <c r="BA40" s="71">
        <f t="shared" si="9"/>
        <v>18</v>
      </c>
      <c r="BB40" s="71">
        <f t="shared" si="10"/>
        <v>12</v>
      </c>
      <c r="BC40" s="71">
        <f t="shared" si="11"/>
        <v>23</v>
      </c>
      <c r="BD40" s="71">
        <f t="shared" si="12"/>
        <v>3</v>
      </c>
      <c r="BE40" s="71">
        <f t="shared" si="13"/>
        <v>3</v>
      </c>
      <c r="BF40" s="72">
        <f t="shared" si="14"/>
        <v>14</v>
      </c>
      <c r="BG40" s="45"/>
      <c r="BH40" s="56">
        <f t="shared" si="15"/>
        <v>0.30208333333333331</v>
      </c>
      <c r="BI40" s="67">
        <f t="shared" si="16"/>
        <v>44.7</v>
      </c>
      <c r="BJ40" s="68">
        <f t="shared" si="17"/>
        <v>44.1</v>
      </c>
      <c r="BK40" s="68">
        <f t="shared" si="18"/>
        <v>42.4</v>
      </c>
      <c r="BL40" s="68">
        <f t="shared" si="19"/>
        <v>43</v>
      </c>
      <c r="BM40" s="68">
        <f t="shared" si="20"/>
        <v>39.9</v>
      </c>
      <c r="BN40" s="68">
        <f t="shared" si="21"/>
        <v>42.5</v>
      </c>
      <c r="BO40" s="69">
        <f t="shared" si="22"/>
        <v>43</v>
      </c>
      <c r="BP40" s="63"/>
      <c r="BQ40" s="64">
        <f t="shared" si="23"/>
        <v>0.30208333333333331</v>
      </c>
      <c r="BR40" s="67">
        <f t="shared" si="24"/>
        <v>49.1</v>
      </c>
      <c r="BS40" s="68">
        <f t="shared" si="25"/>
        <v>50.8</v>
      </c>
      <c r="BT40" s="68">
        <f t="shared" si="26"/>
        <v>51.4</v>
      </c>
      <c r="BU40" s="68">
        <f t="shared" si="27"/>
        <v>51.4</v>
      </c>
      <c r="BV40" s="68" t="str">
        <f t="shared" si="28"/>
        <v/>
      </c>
      <c r="BW40" s="68" t="str">
        <f t="shared" si="29"/>
        <v/>
      </c>
      <c r="BX40" s="69">
        <f t="shared" si="30"/>
        <v>46.6</v>
      </c>
      <c r="BY40" s="65"/>
      <c r="BZ40" s="66">
        <f t="shared" si="43"/>
        <v>42.800000000000004</v>
      </c>
      <c r="CA40" s="414">
        <f t="shared" si="31"/>
        <v>49.86</v>
      </c>
      <c r="CB40" s="416">
        <f t="shared" si="48"/>
        <v>60</v>
      </c>
      <c r="CC40" s="65"/>
      <c r="CD40" s="67">
        <f t="shared" si="32"/>
        <v>0</v>
      </c>
      <c r="CE40" s="68">
        <f t="shared" si="33"/>
        <v>0</v>
      </c>
      <c r="CF40" s="68">
        <f t="shared" si="34"/>
        <v>0</v>
      </c>
      <c r="CG40" s="68">
        <f t="shared" si="35"/>
        <v>0</v>
      </c>
      <c r="CH40" s="68">
        <f t="shared" si="36"/>
        <v>0</v>
      </c>
      <c r="CI40" s="68">
        <f t="shared" si="37"/>
        <v>0</v>
      </c>
      <c r="CJ40" s="69">
        <f t="shared" si="38"/>
        <v>0</v>
      </c>
      <c r="CM40" s="67">
        <f t="shared" si="44"/>
        <v>581.1</v>
      </c>
      <c r="CN40" s="68">
        <f t="shared" si="49"/>
        <v>793.80000000000007</v>
      </c>
      <c r="CO40" s="68">
        <f t="shared" si="50"/>
        <v>508.79999999999995</v>
      </c>
      <c r="CP40" s="68">
        <f t="shared" si="51"/>
        <v>989</v>
      </c>
      <c r="CQ40" s="68">
        <f t="shared" si="52"/>
        <v>119.69999999999999</v>
      </c>
      <c r="CR40" s="68">
        <f t="shared" si="53"/>
        <v>127.5</v>
      </c>
      <c r="CS40" s="69">
        <f t="shared" si="54"/>
        <v>602</v>
      </c>
      <c r="CU40" s="511">
        <f>SUM(SUMIF($AZ$8:$BF$8, {"NON";"NEUT"}, AZ40:BF40))/config!$AC$16</f>
        <v>16</v>
      </c>
      <c r="CV40" s="512">
        <f t="shared" si="45"/>
        <v>0.30208333333333331</v>
      </c>
      <c r="CY40" s="67">
        <f>SUM(C44*$CY$108, C151*$CY$109, C258*$CY$110, C365*$CY$111, C472*$CY$112, C579*$CY$113, C686*$CY$114)/config!$AC$16</f>
        <v>0</v>
      </c>
      <c r="CZ40" s="68">
        <f>SUM(SUM(D44:E44)*$CY$108, SUM(D151:E151)*$CY$109, SUM(D258:E258)*$CY$110, SUM(D365:E365)*$CY$111, SUM(D472:E472)*$CY$112, SUM(D579:E579)*$CY$113, SUM(D686:E686)*$CY$114)/config!$AC$16</f>
        <v>14.6</v>
      </c>
      <c r="DA40" s="68">
        <f>SUM(SUM(F44:G44)*$CY$108, SUM(F151:G151)*$CY$109, SUM(F258:G258)*$CY$110, SUM(F365:G365)*$CY$111, SUM(F472:G472)*$CY$112, SUM(F579:G579)*$CY$113, SUM(F686:G686)*$CY$114)/config!$AC$16</f>
        <v>1.4</v>
      </c>
      <c r="DB40" s="68">
        <f>SUM(H44*$CY$108, H151*$CY$109, H258*$CY$110, H365*$CY$111, H472*$CY$112, H579*$CY$113, H686*$CY$114)/config!$AC$16</f>
        <v>0</v>
      </c>
      <c r="DC40" s="69">
        <f>SUM(SUM(I44:L44)*$CY$108, SUM(I151:L151)*$CY$109, SUM(I258:L258)*$CY$110, SUM(I365:L365)*$CY$111, SUM(I472:L472)*$CY$112, SUM(I579:L579)*$CY$113, SUM(I686:L686)*$CY$114)/config!$AC$16</f>
        <v>0</v>
      </c>
    </row>
    <row r="41" spans="1:107" ht="15" x14ac:dyDescent="0.25">
      <c r="A41" s="440" t="s">
        <v>80</v>
      </c>
      <c r="B41" s="642">
        <v>7</v>
      </c>
      <c r="C41" s="184">
        <v>1</v>
      </c>
      <c r="D41" s="184">
        <v>6</v>
      </c>
      <c r="E41" s="184">
        <v>0</v>
      </c>
      <c r="F41" s="184">
        <v>0</v>
      </c>
      <c r="G41" s="184">
        <v>0</v>
      </c>
      <c r="H41" s="184">
        <v>0</v>
      </c>
      <c r="I41" s="184">
        <v>0</v>
      </c>
      <c r="J41" s="184">
        <v>0</v>
      </c>
      <c r="K41" s="184">
        <v>0</v>
      </c>
      <c r="L41" s="184">
        <v>0</v>
      </c>
      <c r="M41" s="654" t="s">
        <v>24</v>
      </c>
      <c r="N41" s="670" t="s">
        <v>80</v>
      </c>
      <c r="O41" s="642">
        <v>0</v>
      </c>
      <c r="P41" s="184">
        <v>0</v>
      </c>
      <c r="Q41" s="184">
        <v>0</v>
      </c>
      <c r="R41" s="184">
        <v>0</v>
      </c>
      <c r="S41" s="184">
        <v>0</v>
      </c>
      <c r="T41" s="184">
        <v>0</v>
      </c>
      <c r="U41" s="184">
        <v>1</v>
      </c>
      <c r="V41" s="184">
        <v>4</v>
      </c>
      <c r="W41" s="184">
        <v>1</v>
      </c>
      <c r="X41" s="184">
        <v>1</v>
      </c>
      <c r="Y41" s="184">
        <v>0</v>
      </c>
      <c r="Z41" s="184">
        <v>0</v>
      </c>
      <c r="AA41" s="184">
        <v>0</v>
      </c>
      <c r="AB41" s="184">
        <v>0</v>
      </c>
      <c r="AC41" s="185">
        <v>43.8</v>
      </c>
      <c r="AD41" s="185" t="s">
        <v>24</v>
      </c>
      <c r="AE41" s="184">
        <v>0</v>
      </c>
      <c r="AF41" s="185">
        <v>0</v>
      </c>
      <c r="AG41" s="184">
        <v>0</v>
      </c>
      <c r="AH41" s="185">
        <v>0</v>
      </c>
      <c r="AI41" s="184">
        <v>0</v>
      </c>
      <c r="AJ41" s="643">
        <v>0</v>
      </c>
      <c r="AP41" s="401">
        <f t="shared" si="40"/>
        <v>10</v>
      </c>
      <c r="AR41" s="56">
        <f t="shared" si="41"/>
        <v>0.3125</v>
      </c>
      <c r="AS41" s="67">
        <f>SUM(C45,C152,C259,C366,C473,C580,C687)/config!$AC$13</f>
        <v>0.14285714285714285</v>
      </c>
      <c r="AT41" s="68">
        <f>SUM(D45:E45,D152:E152,D259:E259,D366:E366,D473:E473,D580:E580,D687:E687)/config!$AC$13</f>
        <v>15.285714285714286</v>
      </c>
      <c r="AU41" s="68">
        <f>SUM(F45:G45,F152:G152,F259:G259,F366:G366,F473:G473,F580:G580,F687:G687)/config!$AC$13</f>
        <v>1.4285714285714286</v>
      </c>
      <c r="AV41" s="68">
        <f>SUM(H45,H152,H259,H366,H473,H580,H687)/config!$AC$13</f>
        <v>0</v>
      </c>
      <c r="AW41" s="69">
        <f>SUM(I45:L45,I152:L152,I259:L259,I366:L366,I473:L473,I580:L580,I687:L687)/config!$AC$13</f>
        <v>0.14285714285714285</v>
      </c>
      <c r="AY41" s="56">
        <f t="shared" si="42"/>
        <v>0.3125</v>
      </c>
      <c r="AZ41" s="70">
        <f t="shared" si="8"/>
        <v>14</v>
      </c>
      <c r="BA41" s="71">
        <f t="shared" si="9"/>
        <v>25</v>
      </c>
      <c r="BB41" s="71">
        <f t="shared" si="10"/>
        <v>28</v>
      </c>
      <c r="BC41" s="71">
        <f t="shared" si="11"/>
        <v>20</v>
      </c>
      <c r="BD41" s="71">
        <f t="shared" si="12"/>
        <v>12</v>
      </c>
      <c r="BE41" s="71">
        <f t="shared" si="13"/>
        <v>2</v>
      </c>
      <c r="BF41" s="72">
        <f t="shared" si="14"/>
        <v>18</v>
      </c>
      <c r="BG41" s="45"/>
      <c r="BH41" s="56">
        <f t="shared" si="15"/>
        <v>0.3125</v>
      </c>
      <c r="BI41" s="67">
        <f t="shared" si="16"/>
        <v>42.8</v>
      </c>
      <c r="BJ41" s="68">
        <f t="shared" si="17"/>
        <v>39.4</v>
      </c>
      <c r="BK41" s="68">
        <f t="shared" si="18"/>
        <v>42.7</v>
      </c>
      <c r="BL41" s="68">
        <f t="shared" si="19"/>
        <v>48.4</v>
      </c>
      <c r="BM41" s="68">
        <f t="shared" si="20"/>
        <v>44.3</v>
      </c>
      <c r="BN41" s="68">
        <f t="shared" si="21"/>
        <v>38.5</v>
      </c>
      <c r="BO41" s="69">
        <f t="shared" si="22"/>
        <v>47.5</v>
      </c>
      <c r="BP41" s="63"/>
      <c r="BQ41" s="64">
        <f t="shared" si="23"/>
        <v>0.3125</v>
      </c>
      <c r="BR41" s="67">
        <f t="shared" si="24"/>
        <v>58.2</v>
      </c>
      <c r="BS41" s="68">
        <f t="shared" si="25"/>
        <v>46.9</v>
      </c>
      <c r="BT41" s="68">
        <f t="shared" si="26"/>
        <v>49.1</v>
      </c>
      <c r="BU41" s="68">
        <f t="shared" si="27"/>
        <v>56</v>
      </c>
      <c r="BV41" s="68">
        <f t="shared" si="28"/>
        <v>53.6</v>
      </c>
      <c r="BW41" s="68" t="str">
        <f t="shared" si="29"/>
        <v/>
      </c>
      <c r="BX41" s="69">
        <f t="shared" si="30"/>
        <v>54.6</v>
      </c>
      <c r="BY41" s="65"/>
      <c r="BZ41" s="66">
        <f t="shared" si="43"/>
        <v>43.371428571428567</v>
      </c>
      <c r="CA41" s="414">
        <f t="shared" si="31"/>
        <v>53.06666666666667</v>
      </c>
      <c r="CB41" s="416">
        <f t="shared" si="48"/>
        <v>60</v>
      </c>
      <c r="CC41" s="65"/>
      <c r="CD41" s="67">
        <f t="shared" si="32"/>
        <v>2</v>
      </c>
      <c r="CE41" s="68">
        <f t="shared" si="33"/>
        <v>0</v>
      </c>
      <c r="CF41" s="68">
        <f t="shared" si="34"/>
        <v>1</v>
      </c>
      <c r="CG41" s="68">
        <f t="shared" si="35"/>
        <v>0</v>
      </c>
      <c r="CH41" s="68">
        <f t="shared" si="36"/>
        <v>0</v>
      </c>
      <c r="CI41" s="68">
        <f t="shared" si="37"/>
        <v>0</v>
      </c>
      <c r="CJ41" s="69">
        <f t="shared" si="38"/>
        <v>0</v>
      </c>
      <c r="CM41" s="67">
        <f t="shared" si="44"/>
        <v>599.19999999999993</v>
      </c>
      <c r="CN41" s="68">
        <f t="shared" si="49"/>
        <v>985</v>
      </c>
      <c r="CO41" s="68">
        <f t="shared" si="50"/>
        <v>1195.6000000000001</v>
      </c>
      <c r="CP41" s="68">
        <f t="shared" si="51"/>
        <v>968</v>
      </c>
      <c r="CQ41" s="68">
        <f t="shared" si="52"/>
        <v>531.59999999999991</v>
      </c>
      <c r="CR41" s="68">
        <f t="shared" si="53"/>
        <v>77</v>
      </c>
      <c r="CS41" s="69">
        <f t="shared" si="54"/>
        <v>855</v>
      </c>
      <c r="CU41" s="511">
        <f>SUM(SUMIF($AZ$8:$BF$8, {"NON";"NEUT"}, AZ41:BF41))/config!$AC$16</f>
        <v>21</v>
      </c>
      <c r="CV41" s="512">
        <f t="shared" si="45"/>
        <v>0.3125</v>
      </c>
      <c r="CY41" s="67">
        <f>SUM(C45*$CY$108, C152*$CY$109, C259*$CY$110, C366*$CY$111, C473*$CY$112, C580*$CY$113, C687*$CY$114)/config!$AC$16</f>
        <v>0.2</v>
      </c>
      <c r="CZ41" s="68">
        <f>SUM(SUM(D45:E45)*$CY$108, SUM(D152:E152)*$CY$109, SUM(D259:E259)*$CY$110, SUM(D366:E366)*$CY$111, SUM(D473:E473)*$CY$112, SUM(D580:E580)*$CY$113, SUM(D687:E687)*$CY$114)/config!$AC$16</f>
        <v>19</v>
      </c>
      <c r="DA41" s="68">
        <f>SUM(SUM(F45:G45)*$CY$108, SUM(F152:G152)*$CY$109, SUM(F259:G259)*$CY$110, SUM(F366:G366)*$CY$111, SUM(F473:G473)*$CY$112, SUM(F580:G580)*$CY$113, SUM(F687:G687)*$CY$114)/config!$AC$16</f>
        <v>1.6</v>
      </c>
      <c r="DB41" s="68">
        <f>SUM(H45*$CY$108, H152*$CY$109, H259*$CY$110, H366*$CY$111, H473*$CY$112, H580*$CY$113, H687*$CY$114)/config!$AC$16</f>
        <v>0</v>
      </c>
      <c r="DC41" s="69">
        <f>SUM(SUM(I45:L45)*$CY$108, SUM(I152:L152)*$CY$109, SUM(I259:L259)*$CY$110, SUM(I366:L366)*$CY$111, SUM(I473:L473)*$CY$112, SUM(I580:L580)*$CY$113, SUM(I687:L687)*$CY$114)/config!$AC$16</f>
        <v>0.2</v>
      </c>
    </row>
    <row r="42" spans="1:107" ht="15.75" thickBot="1" x14ac:dyDescent="0.3">
      <c r="A42" s="440" t="s">
        <v>81</v>
      </c>
      <c r="B42" s="644">
        <v>10</v>
      </c>
      <c r="C42" s="188">
        <v>0</v>
      </c>
      <c r="D42" s="188">
        <v>10</v>
      </c>
      <c r="E42" s="188">
        <v>0</v>
      </c>
      <c r="F42" s="188">
        <v>0</v>
      </c>
      <c r="G42" s="188">
        <v>0</v>
      </c>
      <c r="H42" s="188">
        <v>0</v>
      </c>
      <c r="I42" s="188">
        <v>0</v>
      </c>
      <c r="J42" s="188">
        <v>0</v>
      </c>
      <c r="K42" s="188">
        <v>0</v>
      </c>
      <c r="L42" s="188">
        <v>0</v>
      </c>
      <c r="M42" s="655" t="s">
        <v>24</v>
      </c>
      <c r="N42" s="670" t="s">
        <v>81</v>
      </c>
      <c r="O42" s="644">
        <v>0</v>
      </c>
      <c r="P42" s="188">
        <v>0</v>
      </c>
      <c r="Q42" s="188">
        <v>0</v>
      </c>
      <c r="R42" s="188">
        <v>0</v>
      </c>
      <c r="S42" s="188">
        <v>0</v>
      </c>
      <c r="T42" s="188">
        <v>0</v>
      </c>
      <c r="U42" s="188">
        <v>2</v>
      </c>
      <c r="V42" s="188">
        <v>3</v>
      </c>
      <c r="W42" s="188">
        <v>3</v>
      </c>
      <c r="X42" s="188">
        <v>1</v>
      </c>
      <c r="Y42" s="188">
        <v>1</v>
      </c>
      <c r="Z42" s="188">
        <v>0</v>
      </c>
      <c r="AA42" s="188">
        <v>0</v>
      </c>
      <c r="AB42" s="188">
        <v>0</v>
      </c>
      <c r="AC42" s="189">
        <v>45.8</v>
      </c>
      <c r="AD42" s="189" t="s">
        <v>24</v>
      </c>
      <c r="AE42" s="188">
        <v>1</v>
      </c>
      <c r="AF42" s="189">
        <v>10</v>
      </c>
      <c r="AG42" s="188">
        <v>0</v>
      </c>
      <c r="AH42" s="189">
        <v>0</v>
      </c>
      <c r="AI42" s="188">
        <v>0</v>
      </c>
      <c r="AJ42" s="645">
        <v>0</v>
      </c>
      <c r="AP42" s="401">
        <f t="shared" si="40"/>
        <v>11</v>
      </c>
      <c r="AR42" s="56">
        <f t="shared" si="41"/>
        <v>0.32291666666666669</v>
      </c>
      <c r="AS42" s="67">
        <f>SUM(C46,C153,C260,C367,C474,C581,C688)/config!$AC$13</f>
        <v>0.7142857142857143</v>
      </c>
      <c r="AT42" s="68">
        <f>SUM(D46:E46,D153:E153,D260:E260,D367:E367,D474:E474,D581:E581,D688:E688)/config!$AC$13</f>
        <v>17.714285714285715</v>
      </c>
      <c r="AU42" s="68">
        <f>SUM(F46:G46,F153:G153,F260:G260,F367:G367,F474:G474,F581:G581,F688:G688)/config!$AC$13</f>
        <v>1.8571428571428572</v>
      </c>
      <c r="AV42" s="68">
        <f>SUM(H46,H153,H260,H367,H474,H581,H688)/config!$AC$13</f>
        <v>0</v>
      </c>
      <c r="AW42" s="69">
        <f>SUM(I46:L46,I153:L153,I260:L260,I367:L367,I474:L474,I581:L581,I688:L688)/config!$AC$13</f>
        <v>0</v>
      </c>
      <c r="AY42" s="56">
        <f t="shared" si="42"/>
        <v>0.32291666666666669</v>
      </c>
      <c r="AZ42" s="70">
        <f t="shared" si="8"/>
        <v>30</v>
      </c>
      <c r="BA42" s="71">
        <f t="shared" si="9"/>
        <v>28</v>
      </c>
      <c r="BB42" s="71">
        <f t="shared" si="10"/>
        <v>17</v>
      </c>
      <c r="BC42" s="71">
        <f t="shared" si="11"/>
        <v>34</v>
      </c>
      <c r="BD42" s="71">
        <f t="shared" si="12"/>
        <v>6</v>
      </c>
      <c r="BE42" s="71">
        <f t="shared" si="13"/>
        <v>5</v>
      </c>
      <c r="BF42" s="72">
        <f t="shared" si="14"/>
        <v>22</v>
      </c>
      <c r="BG42" s="45"/>
      <c r="BH42" s="56">
        <f t="shared" si="15"/>
        <v>0.32291666666666669</v>
      </c>
      <c r="BI42" s="67">
        <f t="shared" si="16"/>
        <v>44.6</v>
      </c>
      <c r="BJ42" s="68">
        <f t="shared" si="17"/>
        <v>41.4</v>
      </c>
      <c r="BK42" s="68">
        <f t="shared" si="18"/>
        <v>45.1</v>
      </c>
      <c r="BL42" s="68">
        <f t="shared" si="19"/>
        <v>43.2</v>
      </c>
      <c r="BM42" s="68">
        <f t="shared" si="20"/>
        <v>40.700000000000003</v>
      </c>
      <c r="BN42" s="68">
        <f t="shared" si="21"/>
        <v>40.700000000000003</v>
      </c>
      <c r="BO42" s="69">
        <f t="shared" si="22"/>
        <v>40.299999999999997</v>
      </c>
      <c r="BP42" s="63"/>
      <c r="BQ42" s="64">
        <f t="shared" si="23"/>
        <v>0.32291666666666669</v>
      </c>
      <c r="BR42" s="67">
        <f t="shared" si="24"/>
        <v>49.2</v>
      </c>
      <c r="BS42" s="68">
        <f t="shared" si="25"/>
        <v>47.6</v>
      </c>
      <c r="BT42" s="68">
        <f t="shared" si="26"/>
        <v>52.8</v>
      </c>
      <c r="BU42" s="68">
        <f t="shared" si="27"/>
        <v>47.7</v>
      </c>
      <c r="BV42" s="68" t="str">
        <f t="shared" si="28"/>
        <v/>
      </c>
      <c r="BW42" s="68" t="str">
        <f t="shared" si="29"/>
        <v/>
      </c>
      <c r="BX42" s="69">
        <f t="shared" si="30"/>
        <v>46.2</v>
      </c>
      <c r="BY42" s="65"/>
      <c r="BZ42" s="66">
        <f t="shared" si="43"/>
        <v>42.285714285714285</v>
      </c>
      <c r="CA42" s="414">
        <f t="shared" si="31"/>
        <v>48.7</v>
      </c>
      <c r="CB42" s="416">
        <f t="shared" si="48"/>
        <v>60</v>
      </c>
      <c r="CC42" s="65"/>
      <c r="CD42" s="67">
        <f t="shared" si="32"/>
        <v>0</v>
      </c>
      <c r="CE42" s="68">
        <f t="shared" si="33"/>
        <v>0</v>
      </c>
      <c r="CF42" s="68">
        <f t="shared" si="34"/>
        <v>1</v>
      </c>
      <c r="CG42" s="68">
        <f t="shared" si="35"/>
        <v>0</v>
      </c>
      <c r="CH42" s="68">
        <f t="shared" si="36"/>
        <v>0</v>
      </c>
      <c r="CI42" s="68">
        <f t="shared" si="37"/>
        <v>0</v>
      </c>
      <c r="CJ42" s="69">
        <f t="shared" si="38"/>
        <v>0</v>
      </c>
      <c r="CM42" s="67">
        <f t="shared" si="44"/>
        <v>1338</v>
      </c>
      <c r="CN42" s="68">
        <f t="shared" si="49"/>
        <v>1159.2</v>
      </c>
      <c r="CO42" s="68">
        <f t="shared" si="50"/>
        <v>766.7</v>
      </c>
      <c r="CP42" s="68">
        <f t="shared" si="51"/>
        <v>1468.8000000000002</v>
      </c>
      <c r="CQ42" s="68">
        <f t="shared" si="52"/>
        <v>244.20000000000002</v>
      </c>
      <c r="CR42" s="68">
        <f t="shared" si="53"/>
        <v>203.5</v>
      </c>
      <c r="CS42" s="69">
        <f t="shared" si="54"/>
        <v>886.59999999999991</v>
      </c>
      <c r="CU42" s="511">
        <f>SUM(SUMIF($AZ$8:$BF$8, {"NON";"NEUT"}, AZ42:BF42))/config!$AC$16</f>
        <v>26.2</v>
      </c>
      <c r="CV42" s="512">
        <f t="shared" si="45"/>
        <v>0.32291666666666669</v>
      </c>
      <c r="CY42" s="67">
        <f>SUM(C46*$CY$108, C153*$CY$109, C260*$CY$110, C367*$CY$111, C474*$CY$112, C581*$CY$113, C688*$CY$114)/config!$AC$16</f>
        <v>1</v>
      </c>
      <c r="CZ42" s="68">
        <f>SUM(SUM(D46:E46)*$CY$108, SUM(D153:E153)*$CY$109, SUM(D260:E260)*$CY$110, SUM(D367:E367)*$CY$111, SUM(D474:E474)*$CY$112, SUM(D581:E581)*$CY$113, SUM(D688:E688)*$CY$114)/config!$AC$16</f>
        <v>22.6</v>
      </c>
      <c r="DA42" s="68">
        <f>SUM(SUM(F46:G46)*$CY$108, SUM(F153:G153)*$CY$109, SUM(F260:G260)*$CY$110, SUM(F367:G367)*$CY$111, SUM(F474:G474)*$CY$112, SUM(F581:G581)*$CY$113, SUM(F688:G688)*$CY$114)/config!$AC$16</f>
        <v>2.6</v>
      </c>
      <c r="DB42" s="68">
        <f>SUM(H46*$CY$108, H153*$CY$109, H260*$CY$110, H367*$CY$111, H474*$CY$112, H581*$CY$113, H688*$CY$114)/config!$AC$16</f>
        <v>0</v>
      </c>
      <c r="DC42" s="69">
        <f>SUM(SUM(I46:L46)*$CY$108, SUM(I153:L153)*$CY$109, SUM(I260:L260)*$CY$110, SUM(I367:L367)*$CY$111, SUM(I474:L474)*$CY$112, SUM(I581:L581)*$CY$113, SUM(I688:L688)*$CY$114)/config!$AC$16</f>
        <v>0</v>
      </c>
    </row>
    <row r="43" spans="1:107" ht="15" x14ac:dyDescent="0.25">
      <c r="A43" s="440" t="s">
        <v>50</v>
      </c>
      <c r="B43" s="646">
        <v>14</v>
      </c>
      <c r="C43" s="186">
        <v>0</v>
      </c>
      <c r="D43" s="186">
        <v>12</v>
      </c>
      <c r="E43" s="186">
        <v>1</v>
      </c>
      <c r="F43" s="186">
        <v>1</v>
      </c>
      <c r="G43" s="186">
        <v>0</v>
      </c>
      <c r="H43" s="186">
        <v>0</v>
      </c>
      <c r="I43" s="186">
        <v>0</v>
      </c>
      <c r="J43" s="186">
        <v>0</v>
      </c>
      <c r="K43" s="186">
        <v>0</v>
      </c>
      <c r="L43" s="186">
        <v>0</v>
      </c>
      <c r="M43" s="656" t="s">
        <v>24</v>
      </c>
      <c r="N43" s="670" t="s">
        <v>50</v>
      </c>
      <c r="O43" s="646">
        <v>0</v>
      </c>
      <c r="P43" s="186">
        <v>0</v>
      </c>
      <c r="Q43" s="186">
        <v>0</v>
      </c>
      <c r="R43" s="186">
        <v>0</v>
      </c>
      <c r="S43" s="186">
        <v>0</v>
      </c>
      <c r="T43" s="186">
        <v>1</v>
      </c>
      <c r="U43" s="186">
        <v>5</v>
      </c>
      <c r="V43" s="186">
        <v>5</v>
      </c>
      <c r="W43" s="186">
        <v>2</v>
      </c>
      <c r="X43" s="186">
        <v>1</v>
      </c>
      <c r="Y43" s="186">
        <v>0</v>
      </c>
      <c r="Z43" s="186">
        <v>0</v>
      </c>
      <c r="AA43" s="186">
        <v>0</v>
      </c>
      <c r="AB43" s="186">
        <v>0</v>
      </c>
      <c r="AC43" s="187">
        <v>41</v>
      </c>
      <c r="AD43" s="187">
        <v>46.4</v>
      </c>
      <c r="AE43" s="186">
        <v>0</v>
      </c>
      <c r="AF43" s="187">
        <v>0</v>
      </c>
      <c r="AG43" s="186">
        <v>0</v>
      </c>
      <c r="AH43" s="187">
        <v>0</v>
      </c>
      <c r="AI43" s="186">
        <v>0</v>
      </c>
      <c r="AJ43" s="647">
        <v>0</v>
      </c>
      <c r="AP43" s="401">
        <f t="shared" si="40"/>
        <v>10</v>
      </c>
      <c r="AR43" s="56">
        <f t="shared" si="41"/>
        <v>0.33333333333333337</v>
      </c>
      <c r="AS43" s="67">
        <f>SUM(C47,C154,C261,C368,C475,C582,C689)/config!$AC$13</f>
        <v>0</v>
      </c>
      <c r="AT43" s="68">
        <f>SUM(D47:E47,D154:E154,D261:E261,D368:E368,D475:E475,D582:E582,D689:E689)/config!$AC$13</f>
        <v>16.142857142857142</v>
      </c>
      <c r="AU43" s="68">
        <f>SUM(F47:G47,F154:G154,F261:G261,F368:G368,F475:G475,F582:G582,F689:G689)/config!$AC$13</f>
        <v>1.4285714285714286</v>
      </c>
      <c r="AV43" s="68">
        <f>SUM(H47,H154,H261,H368,H475,H582,H689)/config!$AC$13</f>
        <v>0</v>
      </c>
      <c r="AW43" s="69">
        <f>SUM(I47:L47,I154:L154,I261:L261,I368:L368,I475:L475,I582:L582,I689:L689)/config!$AC$13</f>
        <v>0.2857142857142857</v>
      </c>
      <c r="AY43" s="56">
        <f t="shared" si="42"/>
        <v>0.33333333333333337</v>
      </c>
      <c r="AZ43" s="70">
        <f t="shared" ref="AZ43:AZ74" si="55">B47</f>
        <v>21</v>
      </c>
      <c r="BA43" s="71">
        <f t="shared" ref="BA43:BA74" si="56">B154</f>
        <v>28</v>
      </c>
      <c r="BB43" s="71">
        <f t="shared" ref="BB43:BB74" si="57">B261</f>
        <v>22</v>
      </c>
      <c r="BC43" s="71">
        <f t="shared" ref="BC43:BC74" si="58">B368</f>
        <v>26</v>
      </c>
      <c r="BD43" s="71">
        <f t="shared" ref="BD43:BD74" si="59">B475</f>
        <v>6</v>
      </c>
      <c r="BE43" s="71">
        <f t="shared" ref="BE43:BE74" si="60">B582</f>
        <v>3</v>
      </c>
      <c r="BF43" s="72">
        <f t="shared" ref="BF43:BF74" si="61">B689</f>
        <v>19</v>
      </c>
      <c r="BG43" s="45"/>
      <c r="BH43" s="56">
        <f t="shared" ref="BH43:BH74" si="62">AY43</f>
        <v>0.33333333333333337</v>
      </c>
      <c r="BI43" s="67">
        <f t="shared" ref="BI43:BI74" si="63">AC47</f>
        <v>43.3</v>
      </c>
      <c r="BJ43" s="68">
        <f t="shared" ref="BJ43:BJ74" si="64">AC154</f>
        <v>40</v>
      </c>
      <c r="BK43" s="68">
        <f t="shared" ref="BK43:BK74" si="65">AC261</f>
        <v>41.9</v>
      </c>
      <c r="BL43" s="68">
        <f t="shared" ref="BL43:BL74" si="66">AC368</f>
        <v>44.8</v>
      </c>
      <c r="BM43" s="68">
        <f t="shared" ref="BM43:BM74" si="67">AC475</f>
        <v>42.4</v>
      </c>
      <c r="BN43" s="68">
        <f t="shared" ref="BN43:BN74" si="68">AC582</f>
        <v>42.9</v>
      </c>
      <c r="BO43" s="69">
        <f t="shared" ref="BO43:BO74" si="69">AC689</f>
        <v>41.5</v>
      </c>
      <c r="BP43" s="63"/>
      <c r="BQ43" s="64">
        <f t="shared" ref="BQ43:BQ74" si="70">BH43</f>
        <v>0.33333333333333337</v>
      </c>
      <c r="BR43" s="67">
        <f t="shared" ref="BR43:BR74" si="71">AD47</f>
        <v>49.7</v>
      </c>
      <c r="BS43" s="68">
        <f t="shared" ref="BS43:BS74" si="72">AD154</f>
        <v>45.1</v>
      </c>
      <c r="BT43" s="68">
        <f t="shared" ref="BT43:BT74" si="73">AD261</f>
        <v>46.5</v>
      </c>
      <c r="BU43" s="68">
        <f t="shared" ref="BU43:BU74" si="74">AD368</f>
        <v>50.8</v>
      </c>
      <c r="BV43" s="68" t="str">
        <f t="shared" ref="BV43:BV74" si="75">AD475</f>
        <v/>
      </c>
      <c r="BW43" s="68" t="str">
        <f t="shared" ref="BW43:BW74" si="76">AD582</f>
        <v/>
      </c>
      <c r="BX43" s="69">
        <f t="shared" ref="BX43:BX74" si="77">AD689</f>
        <v>44</v>
      </c>
      <c r="BY43" s="65"/>
      <c r="BZ43" s="66">
        <f t="shared" si="43"/>
        <v>42.4</v>
      </c>
      <c r="CA43" s="414">
        <f t="shared" si="31"/>
        <v>47.220000000000006</v>
      </c>
      <c r="CB43" s="416">
        <f t="shared" si="48"/>
        <v>60</v>
      </c>
      <c r="CC43" s="65"/>
      <c r="CD43" s="67">
        <f t="shared" ref="CD43:CD74" si="78">AE47</f>
        <v>0</v>
      </c>
      <c r="CE43" s="68">
        <f t="shared" ref="CE43:CE74" si="79">AE154</f>
        <v>0</v>
      </c>
      <c r="CF43" s="68">
        <f t="shared" ref="CF43:CF74" si="80">AE261</f>
        <v>0</v>
      </c>
      <c r="CG43" s="68">
        <f t="shared" ref="CG43:CG74" si="81">AE368</f>
        <v>0</v>
      </c>
      <c r="CH43" s="68">
        <f t="shared" ref="CH43:CH74" si="82">AE475</f>
        <v>0</v>
      </c>
      <c r="CI43" s="68">
        <f t="shared" ref="CI43:CI74" si="83">AE582</f>
        <v>0</v>
      </c>
      <c r="CJ43" s="69">
        <f t="shared" ref="CJ43:CJ74" si="84">AE689</f>
        <v>0</v>
      </c>
      <c r="CM43" s="67">
        <f t="shared" si="44"/>
        <v>909.3</v>
      </c>
      <c r="CN43" s="68">
        <f t="shared" si="49"/>
        <v>1120</v>
      </c>
      <c r="CO43" s="68">
        <f t="shared" si="50"/>
        <v>921.8</v>
      </c>
      <c r="CP43" s="68">
        <f t="shared" si="51"/>
        <v>1164.8</v>
      </c>
      <c r="CQ43" s="68">
        <f t="shared" si="52"/>
        <v>254.39999999999998</v>
      </c>
      <c r="CR43" s="68">
        <f t="shared" si="53"/>
        <v>128.69999999999999</v>
      </c>
      <c r="CS43" s="69">
        <f t="shared" si="54"/>
        <v>788.5</v>
      </c>
      <c r="CU43" s="511">
        <f>SUM(SUMIF($AZ$8:$BF$8, {"NON";"NEUT"}, AZ43:BF43))/config!$AC$16</f>
        <v>23.2</v>
      </c>
      <c r="CV43" s="512">
        <f t="shared" si="45"/>
        <v>0.33333333333333337</v>
      </c>
      <c r="CY43" s="67">
        <f>SUM(C47*$CY$108, C154*$CY$109, C261*$CY$110, C368*$CY$111, C475*$CY$112, C582*$CY$113, C689*$CY$114)/config!$AC$16</f>
        <v>0</v>
      </c>
      <c r="CZ43" s="68">
        <f>SUM(SUM(D47:E47)*$CY$108, SUM(D154:E154)*$CY$109, SUM(D261:E261)*$CY$110, SUM(D368:E368)*$CY$111, SUM(D475:E475)*$CY$112, SUM(D582:E582)*$CY$113, SUM(D689:E689)*$CY$114)/config!$AC$16</f>
        <v>21</v>
      </c>
      <c r="DA43" s="68">
        <f>SUM(SUM(F47:G47)*$CY$108, SUM(F154:G154)*$CY$109, SUM(F261:G261)*$CY$110, SUM(F368:G368)*$CY$111, SUM(F475:G475)*$CY$112, SUM(F582:G582)*$CY$113, SUM(F689:G689)*$CY$114)/config!$AC$16</f>
        <v>1.8</v>
      </c>
      <c r="DB43" s="68">
        <f>SUM(H47*$CY$108, H154*$CY$109, H261*$CY$110, H368*$CY$111, H475*$CY$112, H582*$CY$113, H689*$CY$114)/config!$AC$16</f>
        <v>0</v>
      </c>
      <c r="DC43" s="69">
        <f>SUM(SUM(I47:L47)*$CY$108, SUM(I154:L154)*$CY$109, SUM(I261:L261)*$CY$110, SUM(I368:L368)*$CY$111, SUM(I475:L475)*$CY$112, SUM(I582:L582)*$CY$113, SUM(I689:L689)*$CY$114)/config!$AC$16</f>
        <v>0.4</v>
      </c>
    </row>
    <row r="44" spans="1:107" ht="15" x14ac:dyDescent="0.25">
      <c r="A44" s="440" t="s">
        <v>82</v>
      </c>
      <c r="B44" s="642">
        <v>13</v>
      </c>
      <c r="C44" s="184">
        <v>0</v>
      </c>
      <c r="D44" s="184">
        <v>13</v>
      </c>
      <c r="E44" s="184">
        <v>0</v>
      </c>
      <c r="F44" s="184">
        <v>0</v>
      </c>
      <c r="G44" s="184">
        <v>0</v>
      </c>
      <c r="H44" s="184">
        <v>0</v>
      </c>
      <c r="I44" s="184">
        <v>0</v>
      </c>
      <c r="J44" s="184">
        <v>0</v>
      </c>
      <c r="K44" s="184">
        <v>0</v>
      </c>
      <c r="L44" s="184">
        <v>0</v>
      </c>
      <c r="M44" s="654" t="s">
        <v>24</v>
      </c>
      <c r="N44" s="670" t="s">
        <v>82</v>
      </c>
      <c r="O44" s="642">
        <v>0</v>
      </c>
      <c r="P44" s="184">
        <v>0</v>
      </c>
      <c r="Q44" s="184">
        <v>0</v>
      </c>
      <c r="R44" s="184">
        <v>0</v>
      </c>
      <c r="S44" s="184">
        <v>0</v>
      </c>
      <c r="T44" s="184">
        <v>0</v>
      </c>
      <c r="U44" s="184">
        <v>1</v>
      </c>
      <c r="V44" s="184">
        <v>6</v>
      </c>
      <c r="W44" s="184">
        <v>5</v>
      </c>
      <c r="X44" s="184">
        <v>1</v>
      </c>
      <c r="Y44" s="184">
        <v>0</v>
      </c>
      <c r="Z44" s="184">
        <v>0</v>
      </c>
      <c r="AA44" s="184">
        <v>0</v>
      </c>
      <c r="AB44" s="184">
        <v>0</v>
      </c>
      <c r="AC44" s="185">
        <v>44.7</v>
      </c>
      <c r="AD44" s="185">
        <v>49.1</v>
      </c>
      <c r="AE44" s="184">
        <v>0</v>
      </c>
      <c r="AF44" s="185">
        <v>0</v>
      </c>
      <c r="AG44" s="184">
        <v>0</v>
      </c>
      <c r="AH44" s="185">
        <v>0</v>
      </c>
      <c r="AI44" s="184">
        <v>0</v>
      </c>
      <c r="AJ44" s="643">
        <v>0</v>
      </c>
      <c r="AP44" s="401">
        <f t="shared" si="40"/>
        <v>6</v>
      </c>
      <c r="AR44" s="56">
        <f t="shared" si="41"/>
        <v>0.34375000000000006</v>
      </c>
      <c r="AS44" s="67">
        <f>SUM(C48,C155,C262,C369,C476,C583,C690)/config!$AC$13</f>
        <v>0.2857142857142857</v>
      </c>
      <c r="AT44" s="68">
        <f>SUM(D48:E48,D155:E155,D262:E262,D369:E369,D476:E476,D583:E583,D690:E690)/config!$AC$13</f>
        <v>19.428571428571427</v>
      </c>
      <c r="AU44" s="68">
        <f>SUM(F48:G48,F155:G155,F262:G262,F369:G369,F476:G476,F583:G583,F690:G690)/config!$AC$13</f>
        <v>0.8571428571428571</v>
      </c>
      <c r="AV44" s="68">
        <f>SUM(H48,H155,H262,H369,H476,H583,H690)/config!$AC$13</f>
        <v>0</v>
      </c>
      <c r="AW44" s="69">
        <f>SUM(I48:L48,I155:L155,I262:L262,I369:L369,I476:L476,I583:L583,I690:L690)/config!$AC$13</f>
        <v>0.42857142857142855</v>
      </c>
      <c r="AY44" s="56">
        <f t="shared" si="42"/>
        <v>0.34375000000000006</v>
      </c>
      <c r="AZ44" s="70">
        <f t="shared" si="55"/>
        <v>31</v>
      </c>
      <c r="BA44" s="71">
        <f t="shared" si="56"/>
        <v>26</v>
      </c>
      <c r="BB44" s="71">
        <f t="shared" si="57"/>
        <v>20</v>
      </c>
      <c r="BC44" s="71">
        <f t="shared" si="58"/>
        <v>20</v>
      </c>
      <c r="BD44" s="71">
        <f t="shared" si="59"/>
        <v>13</v>
      </c>
      <c r="BE44" s="71">
        <f t="shared" si="60"/>
        <v>7</v>
      </c>
      <c r="BF44" s="72">
        <f t="shared" si="61"/>
        <v>30</v>
      </c>
      <c r="BG44" s="45"/>
      <c r="BH44" s="56">
        <f t="shared" si="62"/>
        <v>0.34375000000000006</v>
      </c>
      <c r="BI44" s="67">
        <f t="shared" si="63"/>
        <v>43</v>
      </c>
      <c r="BJ44" s="68">
        <f t="shared" si="64"/>
        <v>41</v>
      </c>
      <c r="BK44" s="68">
        <f t="shared" si="65"/>
        <v>39.4</v>
      </c>
      <c r="BL44" s="68">
        <f t="shared" si="66"/>
        <v>39.799999999999997</v>
      </c>
      <c r="BM44" s="68">
        <f t="shared" si="67"/>
        <v>41.1</v>
      </c>
      <c r="BN44" s="68">
        <f t="shared" si="68"/>
        <v>41.4</v>
      </c>
      <c r="BO44" s="69">
        <f t="shared" si="69"/>
        <v>42.5</v>
      </c>
      <c r="BP44" s="63"/>
      <c r="BQ44" s="64">
        <f t="shared" si="70"/>
        <v>0.34375000000000006</v>
      </c>
      <c r="BR44" s="67">
        <f t="shared" si="71"/>
        <v>49.3</v>
      </c>
      <c r="BS44" s="68">
        <f t="shared" si="72"/>
        <v>49.1</v>
      </c>
      <c r="BT44" s="68">
        <f t="shared" si="73"/>
        <v>45.6</v>
      </c>
      <c r="BU44" s="68">
        <f t="shared" si="74"/>
        <v>46.6</v>
      </c>
      <c r="BV44" s="68">
        <f t="shared" si="75"/>
        <v>51.2</v>
      </c>
      <c r="BW44" s="68" t="str">
        <f t="shared" si="76"/>
        <v/>
      </c>
      <c r="BX44" s="69">
        <f t="shared" si="77"/>
        <v>48.7</v>
      </c>
      <c r="BY44" s="65"/>
      <c r="BZ44" s="66">
        <f t="shared" si="43"/>
        <v>41.171428571428571</v>
      </c>
      <c r="CA44" s="414">
        <f t="shared" si="31"/>
        <v>48.416666666666664</v>
      </c>
      <c r="CB44" s="416">
        <f t="shared" si="48"/>
        <v>60</v>
      </c>
      <c r="CC44" s="65"/>
      <c r="CD44" s="67">
        <f t="shared" si="78"/>
        <v>0</v>
      </c>
      <c r="CE44" s="68">
        <f t="shared" si="79"/>
        <v>0</v>
      </c>
      <c r="CF44" s="68">
        <f t="shared" si="80"/>
        <v>0</v>
      </c>
      <c r="CG44" s="68">
        <f t="shared" si="81"/>
        <v>0</v>
      </c>
      <c r="CH44" s="68">
        <f t="shared" si="82"/>
        <v>0</v>
      </c>
      <c r="CI44" s="68">
        <f t="shared" si="83"/>
        <v>0</v>
      </c>
      <c r="CJ44" s="69">
        <f t="shared" si="84"/>
        <v>2</v>
      </c>
      <c r="CM44" s="67">
        <f t="shared" si="44"/>
        <v>1333</v>
      </c>
      <c r="CN44" s="68">
        <f t="shared" si="49"/>
        <v>1066</v>
      </c>
      <c r="CO44" s="68">
        <f t="shared" si="50"/>
        <v>788</v>
      </c>
      <c r="CP44" s="68">
        <f t="shared" si="51"/>
        <v>796</v>
      </c>
      <c r="CQ44" s="68">
        <f t="shared" si="52"/>
        <v>534.30000000000007</v>
      </c>
      <c r="CR44" s="68">
        <f t="shared" si="53"/>
        <v>289.8</v>
      </c>
      <c r="CS44" s="69">
        <f t="shared" si="54"/>
        <v>1275</v>
      </c>
      <c r="CU44" s="511">
        <f>SUM(SUMIF($AZ$8:$BF$8, {"NON";"NEUT"}, AZ44:BF44))/config!$AC$16</f>
        <v>25.4</v>
      </c>
      <c r="CV44" s="512">
        <f t="shared" si="45"/>
        <v>0.34375000000000006</v>
      </c>
      <c r="CY44" s="67">
        <f>SUM(C48*$CY$108, C155*$CY$109, C262*$CY$110, C369*$CY$111, C476*$CY$112, C583*$CY$113, C690*$CY$114)/config!$AC$16</f>
        <v>0.2</v>
      </c>
      <c r="CZ44" s="68">
        <f>SUM(SUM(D48:E48)*$CY$108, SUM(D155:E155)*$CY$109, SUM(D262:E262)*$CY$110, SUM(D369:E369)*$CY$111, SUM(D476:E476)*$CY$112, SUM(D583:E583)*$CY$113, SUM(D690:E690)*$CY$114)/config!$AC$16</f>
        <v>23.6</v>
      </c>
      <c r="DA44" s="68">
        <f>SUM(SUM(F48:G48)*$CY$108, SUM(F155:G155)*$CY$109, SUM(F262:G262)*$CY$110, SUM(F369:G369)*$CY$111, SUM(F476:G476)*$CY$112, SUM(F583:G583)*$CY$113, SUM(F690:G690)*$CY$114)/config!$AC$16</f>
        <v>1.2</v>
      </c>
      <c r="DB44" s="68">
        <f>SUM(H48*$CY$108, H155*$CY$109, H262*$CY$110, H369*$CY$111, H476*$CY$112, H583*$CY$113, H690*$CY$114)/config!$AC$16</f>
        <v>0</v>
      </c>
      <c r="DC44" s="69">
        <f>SUM(SUM(I48:L48)*$CY$108, SUM(I155:L155)*$CY$109, SUM(I262:L262)*$CY$110, SUM(I369:L369)*$CY$111, SUM(I476:L476)*$CY$112, SUM(I583:L583)*$CY$113, SUM(I690:L690)*$CY$114)/config!$AC$16</f>
        <v>0.4</v>
      </c>
    </row>
    <row r="45" spans="1:107" ht="15" x14ac:dyDescent="0.25">
      <c r="A45" s="440" t="s">
        <v>83</v>
      </c>
      <c r="B45" s="642">
        <v>14</v>
      </c>
      <c r="C45" s="184">
        <v>1</v>
      </c>
      <c r="D45" s="184">
        <v>13</v>
      </c>
      <c r="E45" s="184">
        <v>0</v>
      </c>
      <c r="F45" s="184">
        <v>0</v>
      </c>
      <c r="G45" s="184">
        <v>0</v>
      </c>
      <c r="H45" s="184">
        <v>0</v>
      </c>
      <c r="I45" s="184">
        <v>0</v>
      </c>
      <c r="J45" s="184">
        <v>0</v>
      </c>
      <c r="K45" s="184">
        <v>0</v>
      </c>
      <c r="L45" s="184">
        <v>0</v>
      </c>
      <c r="M45" s="654" t="s">
        <v>24</v>
      </c>
      <c r="N45" s="670" t="s">
        <v>83</v>
      </c>
      <c r="O45" s="642">
        <v>0</v>
      </c>
      <c r="P45" s="184">
        <v>1</v>
      </c>
      <c r="Q45" s="184">
        <v>0</v>
      </c>
      <c r="R45" s="184">
        <v>0</v>
      </c>
      <c r="S45" s="184">
        <v>0</v>
      </c>
      <c r="T45" s="184">
        <v>1</v>
      </c>
      <c r="U45" s="184">
        <v>3</v>
      </c>
      <c r="V45" s="184">
        <v>3</v>
      </c>
      <c r="W45" s="184">
        <v>4</v>
      </c>
      <c r="X45" s="184">
        <v>0</v>
      </c>
      <c r="Y45" s="184">
        <v>2</v>
      </c>
      <c r="Z45" s="184">
        <v>0</v>
      </c>
      <c r="AA45" s="184">
        <v>0</v>
      </c>
      <c r="AB45" s="184">
        <v>0</v>
      </c>
      <c r="AC45" s="185">
        <v>42.8</v>
      </c>
      <c r="AD45" s="185">
        <v>58.2</v>
      </c>
      <c r="AE45" s="184">
        <v>2</v>
      </c>
      <c r="AF45" s="185">
        <v>14.285714285714285</v>
      </c>
      <c r="AG45" s="184">
        <v>0</v>
      </c>
      <c r="AH45" s="185">
        <v>0</v>
      </c>
      <c r="AI45" s="184">
        <v>0</v>
      </c>
      <c r="AJ45" s="643">
        <v>0</v>
      </c>
      <c r="AP45" s="401">
        <f t="shared" si="40"/>
        <v>7</v>
      </c>
      <c r="AR45" s="56">
        <f t="shared" si="41"/>
        <v>0.35416666666666674</v>
      </c>
      <c r="AS45" s="67">
        <f>SUM(C49,C156,C263,C370,C477,C584,C691)/config!$AC$13</f>
        <v>0.42857142857142855</v>
      </c>
      <c r="AT45" s="68">
        <f>SUM(D49:E49,D156:E156,D263:E263,D370:E370,D477:E477,D584:E584,D691:E691)/config!$AC$13</f>
        <v>20</v>
      </c>
      <c r="AU45" s="68">
        <f>SUM(F49:G49,F156:G156,F263:G263,F370:G370,F477:G477,F584:G584,F691:G691)/config!$AC$13</f>
        <v>1</v>
      </c>
      <c r="AV45" s="68">
        <f>SUM(H49,H156,H263,H370,H477,H584,H691)/config!$AC$13</f>
        <v>0</v>
      </c>
      <c r="AW45" s="69">
        <f>SUM(I49:L49,I156:L156,I263:L263,I370:L370,I477:L477,I584:L584,I691:L691)/config!$AC$13</f>
        <v>0</v>
      </c>
      <c r="AY45" s="56">
        <f t="shared" si="42"/>
        <v>0.35416666666666674</v>
      </c>
      <c r="AZ45" s="70">
        <f t="shared" si="55"/>
        <v>24</v>
      </c>
      <c r="BA45" s="71">
        <f t="shared" si="56"/>
        <v>22</v>
      </c>
      <c r="BB45" s="71">
        <f t="shared" si="57"/>
        <v>24</v>
      </c>
      <c r="BC45" s="71">
        <f t="shared" si="58"/>
        <v>34</v>
      </c>
      <c r="BD45" s="71">
        <f t="shared" si="59"/>
        <v>18</v>
      </c>
      <c r="BE45" s="71">
        <f t="shared" si="60"/>
        <v>8</v>
      </c>
      <c r="BF45" s="72">
        <f t="shared" si="61"/>
        <v>20</v>
      </c>
      <c r="BG45" s="45"/>
      <c r="BH45" s="56">
        <f t="shared" si="62"/>
        <v>0.35416666666666674</v>
      </c>
      <c r="BI45" s="67">
        <f t="shared" si="63"/>
        <v>41.3</v>
      </c>
      <c r="BJ45" s="68">
        <f t="shared" si="64"/>
        <v>40.5</v>
      </c>
      <c r="BK45" s="68">
        <f t="shared" si="65"/>
        <v>42.4</v>
      </c>
      <c r="BL45" s="68">
        <f t="shared" si="66"/>
        <v>36.799999999999997</v>
      </c>
      <c r="BM45" s="68">
        <f t="shared" si="67"/>
        <v>44.2</v>
      </c>
      <c r="BN45" s="68">
        <f t="shared" si="68"/>
        <v>33.4</v>
      </c>
      <c r="BO45" s="69">
        <f t="shared" si="69"/>
        <v>38.6</v>
      </c>
      <c r="BP45" s="63"/>
      <c r="BQ45" s="64">
        <f t="shared" si="70"/>
        <v>0.35416666666666674</v>
      </c>
      <c r="BR45" s="67">
        <f t="shared" si="71"/>
        <v>50</v>
      </c>
      <c r="BS45" s="68">
        <f t="shared" si="72"/>
        <v>46.7</v>
      </c>
      <c r="BT45" s="68">
        <f t="shared" si="73"/>
        <v>47.9</v>
      </c>
      <c r="BU45" s="68">
        <f t="shared" si="74"/>
        <v>43.4</v>
      </c>
      <c r="BV45" s="68">
        <f t="shared" si="75"/>
        <v>51.7</v>
      </c>
      <c r="BW45" s="68" t="str">
        <f t="shared" si="76"/>
        <v/>
      </c>
      <c r="BX45" s="69">
        <f t="shared" si="77"/>
        <v>43.1</v>
      </c>
      <c r="BY45" s="65"/>
      <c r="BZ45" s="66">
        <f t="shared" si="43"/>
        <v>39.6</v>
      </c>
      <c r="CA45" s="414">
        <f t="shared" si="31"/>
        <v>47.133333333333333</v>
      </c>
      <c r="CB45" s="416">
        <f t="shared" si="48"/>
        <v>60</v>
      </c>
      <c r="CC45" s="65"/>
      <c r="CD45" s="67">
        <f t="shared" si="78"/>
        <v>1</v>
      </c>
      <c r="CE45" s="68">
        <f t="shared" si="79"/>
        <v>0</v>
      </c>
      <c r="CF45" s="68">
        <f t="shared" si="80"/>
        <v>0</v>
      </c>
      <c r="CG45" s="68">
        <f t="shared" si="81"/>
        <v>0</v>
      </c>
      <c r="CH45" s="68">
        <f t="shared" si="82"/>
        <v>1</v>
      </c>
      <c r="CI45" s="68">
        <f t="shared" si="83"/>
        <v>0</v>
      </c>
      <c r="CJ45" s="69">
        <f t="shared" si="84"/>
        <v>0</v>
      </c>
      <c r="CM45" s="67">
        <f t="shared" si="44"/>
        <v>991.19999999999993</v>
      </c>
      <c r="CN45" s="68">
        <f t="shared" si="49"/>
        <v>891</v>
      </c>
      <c r="CO45" s="68">
        <f t="shared" si="50"/>
        <v>1017.5999999999999</v>
      </c>
      <c r="CP45" s="68">
        <f t="shared" si="51"/>
        <v>1251.1999999999998</v>
      </c>
      <c r="CQ45" s="68">
        <f t="shared" si="52"/>
        <v>795.6</v>
      </c>
      <c r="CR45" s="68">
        <f t="shared" si="53"/>
        <v>267.2</v>
      </c>
      <c r="CS45" s="69">
        <f t="shared" si="54"/>
        <v>772</v>
      </c>
      <c r="CU45" s="511">
        <f>SUM(SUMIF($AZ$8:$BF$8, {"NON";"NEUT"}, AZ45:BF45))/config!$AC$16</f>
        <v>24.8</v>
      </c>
      <c r="CV45" s="512">
        <f t="shared" si="45"/>
        <v>0.35416666666666674</v>
      </c>
      <c r="CY45" s="67">
        <f>SUM(C49*$CY$108, C156*$CY$109, C263*$CY$110, C370*$CY$111, C477*$CY$112, C584*$CY$113, C691*$CY$114)/config!$AC$16</f>
        <v>0.4</v>
      </c>
      <c r="CZ45" s="68">
        <f>SUM(SUM(D49:E49)*$CY$108, SUM(D156:E156)*$CY$109, SUM(D263:E263)*$CY$110, SUM(D370:E370)*$CY$111, SUM(D477:E477)*$CY$112, SUM(D584:E584)*$CY$113, SUM(D691:E691)*$CY$114)/config!$AC$16</f>
        <v>23</v>
      </c>
      <c r="DA45" s="68">
        <f>SUM(SUM(F49:G49)*$CY$108, SUM(F156:G156)*$CY$109, SUM(F263:G263)*$CY$110, SUM(F370:G370)*$CY$111, SUM(F477:G477)*$CY$112, SUM(F584:G584)*$CY$113, SUM(F691:G691)*$CY$114)/config!$AC$16</f>
        <v>1.4</v>
      </c>
      <c r="DB45" s="68">
        <f>SUM(H49*$CY$108, H156*$CY$109, H263*$CY$110, H370*$CY$111, H477*$CY$112, H584*$CY$113, H691*$CY$114)/config!$AC$16</f>
        <v>0</v>
      </c>
      <c r="DC45" s="69">
        <f>SUM(SUM(I49:L49)*$CY$108, SUM(I156:L156)*$CY$109, SUM(I263:L263)*$CY$110, SUM(I370:L370)*$CY$111, SUM(I477:L477)*$CY$112, SUM(I584:L584)*$CY$113, SUM(I691:L691)*$CY$114)/config!$AC$16</f>
        <v>0</v>
      </c>
    </row>
    <row r="46" spans="1:107" ht="15" x14ac:dyDescent="0.25">
      <c r="A46" s="440" t="s">
        <v>84</v>
      </c>
      <c r="B46" s="642">
        <v>30</v>
      </c>
      <c r="C46" s="184">
        <v>2</v>
      </c>
      <c r="D46" s="184">
        <v>26</v>
      </c>
      <c r="E46" s="184">
        <v>1</v>
      </c>
      <c r="F46" s="184">
        <v>1</v>
      </c>
      <c r="G46" s="184">
        <v>0</v>
      </c>
      <c r="H46" s="184">
        <v>0</v>
      </c>
      <c r="I46" s="184">
        <v>0</v>
      </c>
      <c r="J46" s="184">
        <v>0</v>
      </c>
      <c r="K46" s="184">
        <v>0</v>
      </c>
      <c r="L46" s="184">
        <v>0</v>
      </c>
      <c r="M46" s="654" t="s">
        <v>24</v>
      </c>
      <c r="N46" s="670" t="s">
        <v>84</v>
      </c>
      <c r="O46" s="642">
        <v>0</v>
      </c>
      <c r="P46" s="184">
        <v>0</v>
      </c>
      <c r="Q46" s="184">
        <v>0</v>
      </c>
      <c r="R46" s="184">
        <v>0</v>
      </c>
      <c r="S46" s="184">
        <v>0</v>
      </c>
      <c r="T46" s="184">
        <v>3</v>
      </c>
      <c r="U46" s="184">
        <v>2</v>
      </c>
      <c r="V46" s="184">
        <v>8</v>
      </c>
      <c r="W46" s="184">
        <v>14</v>
      </c>
      <c r="X46" s="184">
        <v>3</v>
      </c>
      <c r="Y46" s="184">
        <v>0</v>
      </c>
      <c r="Z46" s="184">
        <v>0</v>
      </c>
      <c r="AA46" s="184">
        <v>0</v>
      </c>
      <c r="AB46" s="184">
        <v>0</v>
      </c>
      <c r="AC46" s="185">
        <v>44.6</v>
      </c>
      <c r="AD46" s="185">
        <v>49.2</v>
      </c>
      <c r="AE46" s="184">
        <v>0</v>
      </c>
      <c r="AF46" s="185">
        <v>0</v>
      </c>
      <c r="AG46" s="184">
        <v>0</v>
      </c>
      <c r="AH46" s="185">
        <v>0</v>
      </c>
      <c r="AI46" s="184">
        <v>0</v>
      </c>
      <c r="AJ46" s="643">
        <v>0</v>
      </c>
      <c r="AP46" s="401">
        <f t="shared" si="40"/>
        <v>10</v>
      </c>
      <c r="AR46" s="56">
        <f t="shared" si="41"/>
        <v>0.36458333333333343</v>
      </c>
      <c r="AS46" s="67">
        <f>SUM(C50,C157,C264,C371,C478,C585,C692)/config!$AC$13</f>
        <v>0.14285714285714285</v>
      </c>
      <c r="AT46" s="68">
        <f>SUM(D50:E50,D157:E157,D264:E264,D371:E371,D478:E478,D585:E585,D692:E692)/config!$AC$13</f>
        <v>15.571428571428571</v>
      </c>
      <c r="AU46" s="68">
        <f>SUM(F50:G50,F157:G157,F264:G264,F371:G371,F478:G478,F585:G585,F692:G692)/config!$AC$13</f>
        <v>1.5714285714285714</v>
      </c>
      <c r="AV46" s="68">
        <f>SUM(H50,H157,H264,H371,H478,H585,H692)/config!$AC$13</f>
        <v>0</v>
      </c>
      <c r="AW46" s="69">
        <f>SUM(I50:L50,I157:L157,I264:L264,I371:L371,I478:L478,I585:L585,I692:L692)/config!$AC$13</f>
        <v>0</v>
      </c>
      <c r="AY46" s="56">
        <f t="shared" si="42"/>
        <v>0.36458333333333343</v>
      </c>
      <c r="AZ46" s="70">
        <f t="shared" si="55"/>
        <v>14</v>
      </c>
      <c r="BA46" s="71">
        <f t="shared" si="56"/>
        <v>19</v>
      </c>
      <c r="BB46" s="71">
        <f t="shared" si="57"/>
        <v>15</v>
      </c>
      <c r="BC46" s="71">
        <f t="shared" si="58"/>
        <v>22</v>
      </c>
      <c r="BD46" s="71">
        <f t="shared" si="59"/>
        <v>24</v>
      </c>
      <c r="BE46" s="71">
        <f t="shared" si="60"/>
        <v>5</v>
      </c>
      <c r="BF46" s="72">
        <f t="shared" si="61"/>
        <v>22</v>
      </c>
      <c r="BG46" s="45"/>
      <c r="BH46" s="56">
        <f t="shared" si="62"/>
        <v>0.36458333333333343</v>
      </c>
      <c r="BI46" s="67">
        <f t="shared" si="63"/>
        <v>37.700000000000003</v>
      </c>
      <c r="BJ46" s="68">
        <f t="shared" si="64"/>
        <v>40.700000000000003</v>
      </c>
      <c r="BK46" s="68">
        <f t="shared" si="65"/>
        <v>39.200000000000003</v>
      </c>
      <c r="BL46" s="68">
        <f t="shared" si="66"/>
        <v>39.6</v>
      </c>
      <c r="BM46" s="68">
        <f t="shared" si="67"/>
        <v>41.4</v>
      </c>
      <c r="BN46" s="68">
        <f t="shared" si="68"/>
        <v>32.6</v>
      </c>
      <c r="BO46" s="69">
        <f t="shared" si="69"/>
        <v>41.8</v>
      </c>
      <c r="BP46" s="63"/>
      <c r="BQ46" s="64">
        <f t="shared" si="70"/>
        <v>0.36458333333333343</v>
      </c>
      <c r="BR46" s="67">
        <f t="shared" si="71"/>
        <v>44.3</v>
      </c>
      <c r="BS46" s="68">
        <f t="shared" si="72"/>
        <v>45.9</v>
      </c>
      <c r="BT46" s="68">
        <f t="shared" si="73"/>
        <v>47.3</v>
      </c>
      <c r="BU46" s="68">
        <f t="shared" si="74"/>
        <v>46.9</v>
      </c>
      <c r="BV46" s="68">
        <f t="shared" si="75"/>
        <v>46.7</v>
      </c>
      <c r="BW46" s="68" t="str">
        <f t="shared" si="76"/>
        <v/>
      </c>
      <c r="BX46" s="69">
        <f t="shared" si="77"/>
        <v>46.8</v>
      </c>
      <c r="BY46" s="65"/>
      <c r="BZ46" s="66">
        <f t="shared" si="43"/>
        <v>39</v>
      </c>
      <c r="CA46" s="414">
        <f t="shared" si="31"/>
        <v>46.31666666666667</v>
      </c>
      <c r="CB46" s="416">
        <f t="shared" si="48"/>
        <v>60</v>
      </c>
      <c r="CC46" s="65"/>
      <c r="CD46" s="67">
        <f t="shared" si="78"/>
        <v>0</v>
      </c>
      <c r="CE46" s="68">
        <f t="shared" si="79"/>
        <v>0</v>
      </c>
      <c r="CF46" s="68">
        <f t="shared" si="80"/>
        <v>0</v>
      </c>
      <c r="CG46" s="68">
        <f t="shared" si="81"/>
        <v>0</v>
      </c>
      <c r="CH46" s="68">
        <f t="shared" si="82"/>
        <v>0</v>
      </c>
      <c r="CI46" s="68">
        <f t="shared" si="83"/>
        <v>0</v>
      </c>
      <c r="CJ46" s="69">
        <f t="shared" si="84"/>
        <v>0</v>
      </c>
      <c r="CM46" s="67">
        <f t="shared" si="44"/>
        <v>527.80000000000007</v>
      </c>
      <c r="CN46" s="68">
        <f t="shared" si="49"/>
        <v>773.30000000000007</v>
      </c>
      <c r="CO46" s="68">
        <f t="shared" si="50"/>
        <v>588</v>
      </c>
      <c r="CP46" s="68">
        <f t="shared" si="51"/>
        <v>871.2</v>
      </c>
      <c r="CQ46" s="68">
        <f t="shared" si="52"/>
        <v>993.59999999999991</v>
      </c>
      <c r="CR46" s="68">
        <f t="shared" si="53"/>
        <v>163</v>
      </c>
      <c r="CS46" s="69">
        <f t="shared" si="54"/>
        <v>919.59999999999991</v>
      </c>
      <c r="CU46" s="511">
        <f>SUM(SUMIF($AZ$8:$BF$8, {"NON";"NEUT"}, AZ46:BF46))/config!$AC$16</f>
        <v>18.399999999999999</v>
      </c>
      <c r="CV46" s="512">
        <f t="shared" si="45"/>
        <v>0.36458333333333343</v>
      </c>
      <c r="CY46" s="67">
        <f>SUM(C50*$CY$108, C157*$CY$109, C264*$CY$110, C371*$CY$111, C478*$CY$112, C585*$CY$113, C692*$CY$114)/config!$AC$16</f>
        <v>0</v>
      </c>
      <c r="CZ46" s="68">
        <f>SUM(SUM(D50:E50)*$CY$108, SUM(D157:E157)*$CY$109, SUM(D264:E264)*$CY$110, SUM(D371:E371)*$CY$111, SUM(D478:E478)*$CY$112, SUM(D585:E585)*$CY$113, SUM(D692:E692)*$CY$114)/config!$AC$16</f>
        <v>16.399999999999999</v>
      </c>
      <c r="DA46" s="68">
        <f>SUM(SUM(F50:G50)*$CY$108, SUM(F157:G157)*$CY$109, SUM(F264:G264)*$CY$110, SUM(F371:G371)*$CY$111, SUM(F478:G478)*$CY$112, SUM(F585:G585)*$CY$113, SUM(F692:G692)*$CY$114)/config!$AC$16</f>
        <v>2</v>
      </c>
      <c r="DB46" s="68">
        <f>SUM(H50*$CY$108, H157*$CY$109, H264*$CY$110, H371*$CY$111, H478*$CY$112, H585*$CY$113, H692*$CY$114)/config!$AC$16</f>
        <v>0</v>
      </c>
      <c r="DC46" s="69">
        <f>SUM(SUM(I50:L50)*$CY$108, SUM(I157:L157)*$CY$109, SUM(I264:L264)*$CY$110, SUM(I371:L371)*$CY$111, SUM(I478:L478)*$CY$112, SUM(I585:L585)*$CY$113, SUM(I692:L692)*$CY$114)/config!$AC$16</f>
        <v>0</v>
      </c>
    </row>
    <row r="47" spans="1:107" ht="15" x14ac:dyDescent="0.25">
      <c r="A47" s="440" t="s">
        <v>51</v>
      </c>
      <c r="B47" s="642">
        <v>21</v>
      </c>
      <c r="C47" s="184">
        <v>0</v>
      </c>
      <c r="D47" s="184">
        <v>20</v>
      </c>
      <c r="E47" s="184">
        <v>0</v>
      </c>
      <c r="F47" s="184">
        <v>0</v>
      </c>
      <c r="G47" s="184">
        <v>0</v>
      </c>
      <c r="H47" s="184">
        <v>0</v>
      </c>
      <c r="I47" s="184">
        <v>0</v>
      </c>
      <c r="J47" s="184">
        <v>1</v>
      </c>
      <c r="K47" s="184">
        <v>0</v>
      </c>
      <c r="L47" s="184">
        <v>0</v>
      </c>
      <c r="M47" s="654" t="s">
        <v>24</v>
      </c>
      <c r="N47" s="670" t="s">
        <v>51</v>
      </c>
      <c r="O47" s="642">
        <v>0</v>
      </c>
      <c r="P47" s="184">
        <v>0</v>
      </c>
      <c r="Q47" s="184">
        <v>0</v>
      </c>
      <c r="R47" s="184">
        <v>0</v>
      </c>
      <c r="S47" s="184">
        <v>1</v>
      </c>
      <c r="T47" s="184">
        <v>1</v>
      </c>
      <c r="U47" s="184">
        <v>6</v>
      </c>
      <c r="V47" s="184">
        <v>4</v>
      </c>
      <c r="W47" s="184">
        <v>7</v>
      </c>
      <c r="X47" s="184">
        <v>2</v>
      </c>
      <c r="Y47" s="184">
        <v>0</v>
      </c>
      <c r="Z47" s="184">
        <v>0</v>
      </c>
      <c r="AA47" s="184">
        <v>0</v>
      </c>
      <c r="AB47" s="184">
        <v>0</v>
      </c>
      <c r="AC47" s="185">
        <v>43.3</v>
      </c>
      <c r="AD47" s="185">
        <v>49.7</v>
      </c>
      <c r="AE47" s="184">
        <v>0</v>
      </c>
      <c r="AF47" s="185">
        <v>0</v>
      </c>
      <c r="AG47" s="184">
        <v>0</v>
      </c>
      <c r="AH47" s="185">
        <v>0</v>
      </c>
      <c r="AI47" s="184">
        <v>0</v>
      </c>
      <c r="AJ47" s="643">
        <v>0</v>
      </c>
      <c r="AP47" s="401">
        <f t="shared" si="40"/>
        <v>7</v>
      </c>
      <c r="AR47" s="56">
        <f t="shared" si="41"/>
        <v>0.37500000000000011</v>
      </c>
      <c r="AS47" s="79">
        <f>SUM(C51,C158,C265,C372,C479,C586,C693)/config!$AC$13</f>
        <v>0</v>
      </c>
      <c r="AT47" s="80">
        <f>SUM(D51:E51,D158:E158,D265:E265,D372:E372,D479:E479,D586:E586,D693:E693)/config!$AC$13</f>
        <v>11.428571428571429</v>
      </c>
      <c r="AU47" s="80">
        <f>SUM(F51:G51,F158:G158,F265:G265,F372:G372,F479:G479,F586:G586,F693:G693)/config!$AC$13</f>
        <v>1</v>
      </c>
      <c r="AV47" s="80">
        <f>SUM(H51,H158,H265,H372,H479,H586,H693)/config!$AC$13</f>
        <v>0</v>
      </c>
      <c r="AW47" s="81">
        <f>SUM(I51:L51,I158:L158,I265:L265,I372:L372,I479:L479,I586:L586,I693:L693)/config!$AC$13</f>
        <v>0.14285714285714285</v>
      </c>
      <c r="AY47" s="56">
        <f t="shared" si="42"/>
        <v>0.37500000000000011</v>
      </c>
      <c r="AZ47" s="82">
        <f t="shared" si="55"/>
        <v>15</v>
      </c>
      <c r="BA47" s="83">
        <f t="shared" si="56"/>
        <v>21</v>
      </c>
      <c r="BB47" s="83">
        <f t="shared" si="57"/>
        <v>12</v>
      </c>
      <c r="BC47" s="83">
        <f t="shared" si="58"/>
        <v>17</v>
      </c>
      <c r="BD47" s="83">
        <f t="shared" si="59"/>
        <v>5</v>
      </c>
      <c r="BE47" s="83">
        <f t="shared" si="60"/>
        <v>6</v>
      </c>
      <c r="BF47" s="84">
        <f t="shared" si="61"/>
        <v>12</v>
      </c>
      <c r="BG47" s="45"/>
      <c r="BH47" s="56">
        <f t="shared" si="62"/>
        <v>0.37500000000000011</v>
      </c>
      <c r="BI47" s="79">
        <f t="shared" si="63"/>
        <v>38.6</v>
      </c>
      <c r="BJ47" s="80">
        <f t="shared" si="64"/>
        <v>38.799999999999997</v>
      </c>
      <c r="BK47" s="80">
        <f t="shared" si="65"/>
        <v>42</v>
      </c>
      <c r="BL47" s="80">
        <f t="shared" si="66"/>
        <v>39.799999999999997</v>
      </c>
      <c r="BM47" s="80">
        <f t="shared" si="67"/>
        <v>42.4</v>
      </c>
      <c r="BN47" s="80">
        <f t="shared" si="68"/>
        <v>45.1</v>
      </c>
      <c r="BO47" s="81">
        <f t="shared" si="69"/>
        <v>42.3</v>
      </c>
      <c r="BP47" s="63"/>
      <c r="BQ47" s="64">
        <f t="shared" si="70"/>
        <v>0.37500000000000011</v>
      </c>
      <c r="BR47" s="79">
        <f t="shared" si="71"/>
        <v>45.5</v>
      </c>
      <c r="BS47" s="80">
        <f t="shared" si="72"/>
        <v>46.6</v>
      </c>
      <c r="BT47" s="80">
        <f t="shared" si="73"/>
        <v>49.7</v>
      </c>
      <c r="BU47" s="80">
        <f t="shared" si="74"/>
        <v>50.9</v>
      </c>
      <c r="BV47" s="80" t="str">
        <f t="shared" si="75"/>
        <v/>
      </c>
      <c r="BW47" s="80" t="str">
        <f t="shared" si="76"/>
        <v/>
      </c>
      <c r="BX47" s="81">
        <f t="shared" si="77"/>
        <v>49.4</v>
      </c>
      <c r="BY47" s="65"/>
      <c r="BZ47" s="66">
        <f t="shared" si="43"/>
        <v>41.285714285714285</v>
      </c>
      <c r="CA47" s="414">
        <f t="shared" si="31"/>
        <v>48.42</v>
      </c>
      <c r="CB47" s="416">
        <f t="shared" si="48"/>
        <v>60</v>
      </c>
      <c r="CC47" s="65"/>
      <c r="CD47" s="79">
        <f t="shared" si="78"/>
        <v>0</v>
      </c>
      <c r="CE47" s="80">
        <f t="shared" si="79"/>
        <v>0</v>
      </c>
      <c r="CF47" s="80">
        <f t="shared" si="80"/>
        <v>0</v>
      </c>
      <c r="CG47" s="80">
        <f t="shared" si="81"/>
        <v>0</v>
      </c>
      <c r="CH47" s="80">
        <f t="shared" si="82"/>
        <v>0</v>
      </c>
      <c r="CI47" s="80">
        <f t="shared" si="83"/>
        <v>0</v>
      </c>
      <c r="CJ47" s="81">
        <f t="shared" si="84"/>
        <v>0</v>
      </c>
      <c r="CM47" s="79">
        <f t="shared" si="44"/>
        <v>579</v>
      </c>
      <c r="CN47" s="80">
        <f t="shared" si="49"/>
        <v>814.8</v>
      </c>
      <c r="CO47" s="80">
        <f t="shared" si="50"/>
        <v>504</v>
      </c>
      <c r="CP47" s="80">
        <f t="shared" si="51"/>
        <v>676.59999999999991</v>
      </c>
      <c r="CQ47" s="80">
        <f t="shared" si="52"/>
        <v>212</v>
      </c>
      <c r="CR47" s="80">
        <f t="shared" si="53"/>
        <v>270.60000000000002</v>
      </c>
      <c r="CS47" s="81">
        <f t="shared" si="54"/>
        <v>507.59999999999997</v>
      </c>
      <c r="CU47" s="511">
        <f>SUM(SUMIF($AZ$8:$BF$8, {"NON";"NEUT"}, AZ47:BF47))/config!$AC$16</f>
        <v>15.4</v>
      </c>
      <c r="CV47" s="512">
        <f t="shared" si="45"/>
        <v>0.37500000000000011</v>
      </c>
      <c r="CY47" s="79">
        <f>SUM(C51*$CY$108, C158*$CY$109, C265*$CY$110, C372*$CY$111, C479*$CY$112, C586*$CY$113, C693*$CY$114)/config!$AC$16</f>
        <v>0</v>
      </c>
      <c r="CZ47" s="80">
        <f>SUM(SUM(D51:E51)*$CY$108, SUM(D158:E158)*$CY$109, SUM(D265:E265)*$CY$110, SUM(D372:E372)*$CY$111, SUM(D479:E479)*$CY$112, SUM(D586:E586)*$CY$113, SUM(D693:E693)*$CY$114)/config!$AC$16</f>
        <v>14</v>
      </c>
      <c r="DA47" s="80">
        <f>SUM(SUM(F51:G51)*$CY$108, SUM(F158:G158)*$CY$109, SUM(F265:G265)*$CY$110, SUM(F372:G372)*$CY$111, SUM(F479:G479)*$CY$112, SUM(F586:G586)*$CY$113, SUM(F693:G693)*$CY$114)/config!$AC$16</f>
        <v>1.2</v>
      </c>
      <c r="DB47" s="80">
        <f>SUM(H51*$CY$108, H158*$CY$109, H265*$CY$110, H372*$CY$111, H479*$CY$112, H586*$CY$113, H693*$CY$114)/config!$AC$16</f>
        <v>0</v>
      </c>
      <c r="DC47" s="81">
        <f>SUM(SUM(I51:L51)*$CY$108, SUM(I158:L158)*$CY$109, SUM(I265:L265)*$CY$110, SUM(I372:L372)*$CY$111, SUM(I479:L479)*$CY$112, SUM(I586:L586)*$CY$113, SUM(I693:L693)*$CY$114)/config!$AC$16</f>
        <v>0.2</v>
      </c>
    </row>
    <row r="48" spans="1:107" ht="15" x14ac:dyDescent="0.25">
      <c r="A48" s="440" t="s">
        <v>85</v>
      </c>
      <c r="B48" s="642">
        <v>31</v>
      </c>
      <c r="C48" s="184">
        <v>0</v>
      </c>
      <c r="D48" s="184">
        <v>30</v>
      </c>
      <c r="E48" s="184">
        <v>0</v>
      </c>
      <c r="F48" s="184">
        <v>0</v>
      </c>
      <c r="G48" s="184">
        <v>0</v>
      </c>
      <c r="H48" s="184">
        <v>0</v>
      </c>
      <c r="I48" s="184">
        <v>0</v>
      </c>
      <c r="J48" s="184">
        <v>1</v>
      </c>
      <c r="K48" s="184">
        <v>0</v>
      </c>
      <c r="L48" s="184">
        <v>0</v>
      </c>
      <c r="M48" s="654" t="s">
        <v>24</v>
      </c>
      <c r="N48" s="670" t="s">
        <v>85</v>
      </c>
      <c r="O48" s="642">
        <v>0</v>
      </c>
      <c r="P48" s="184">
        <v>0</v>
      </c>
      <c r="Q48" s="184">
        <v>0</v>
      </c>
      <c r="R48" s="184">
        <v>1</v>
      </c>
      <c r="S48" s="184">
        <v>0</v>
      </c>
      <c r="T48" s="184">
        <v>0</v>
      </c>
      <c r="U48" s="184">
        <v>7</v>
      </c>
      <c r="V48" s="184">
        <v>12</v>
      </c>
      <c r="W48" s="184">
        <v>9</v>
      </c>
      <c r="X48" s="184">
        <v>2</v>
      </c>
      <c r="Y48" s="184">
        <v>0</v>
      </c>
      <c r="Z48" s="184">
        <v>0</v>
      </c>
      <c r="AA48" s="184">
        <v>0</v>
      </c>
      <c r="AB48" s="184">
        <v>0</v>
      </c>
      <c r="AC48" s="185">
        <v>43</v>
      </c>
      <c r="AD48" s="185">
        <v>49.3</v>
      </c>
      <c r="AE48" s="184">
        <v>0</v>
      </c>
      <c r="AF48" s="185">
        <v>0</v>
      </c>
      <c r="AG48" s="184">
        <v>0</v>
      </c>
      <c r="AH48" s="185">
        <v>0</v>
      </c>
      <c r="AI48" s="184">
        <v>0</v>
      </c>
      <c r="AJ48" s="643">
        <v>0</v>
      </c>
      <c r="AP48" s="401">
        <f t="shared" si="40"/>
        <v>12</v>
      </c>
      <c r="AR48" s="56">
        <f t="shared" si="41"/>
        <v>0.3854166666666668</v>
      </c>
      <c r="AS48" s="67">
        <f>SUM(C52,C159,C266,C373,C480,C587,C694)/config!$AC$13</f>
        <v>0.2857142857142857</v>
      </c>
      <c r="AT48" s="68">
        <f>SUM(D52:E52,D159:E159,D266:E266,D373:E373,D480:E480,D587:E587,D694:E694)/config!$AC$13</f>
        <v>11.714285714285714</v>
      </c>
      <c r="AU48" s="68">
        <f>SUM(F52:G52,F159:G159,F266:G266,F373:G373,F480:G480,F587:G587,F694:G694)/config!$AC$13</f>
        <v>1.8571428571428572</v>
      </c>
      <c r="AV48" s="68">
        <f>SUM(H52,H159,H266,H373,H480,H587,H694)/config!$AC$13</f>
        <v>0</v>
      </c>
      <c r="AW48" s="69">
        <f>SUM(I52:L52,I159:L159,I266:L266,I373:L373,I480:L480,I587:L587,I694:L694)/config!$AC$13</f>
        <v>0</v>
      </c>
      <c r="AY48" s="56">
        <f t="shared" si="42"/>
        <v>0.3854166666666668</v>
      </c>
      <c r="AZ48" s="70">
        <f t="shared" si="55"/>
        <v>15</v>
      </c>
      <c r="BA48" s="71">
        <f t="shared" si="56"/>
        <v>28</v>
      </c>
      <c r="BB48" s="71">
        <f t="shared" si="57"/>
        <v>13</v>
      </c>
      <c r="BC48" s="71">
        <f t="shared" si="58"/>
        <v>14</v>
      </c>
      <c r="BD48" s="71">
        <f t="shared" si="59"/>
        <v>8</v>
      </c>
      <c r="BE48" s="71">
        <f t="shared" si="60"/>
        <v>8</v>
      </c>
      <c r="BF48" s="72">
        <f t="shared" si="61"/>
        <v>11</v>
      </c>
      <c r="BG48" s="45"/>
      <c r="BH48" s="56">
        <f t="shared" si="62"/>
        <v>0.3854166666666668</v>
      </c>
      <c r="BI48" s="67">
        <f t="shared" si="63"/>
        <v>39.6</v>
      </c>
      <c r="BJ48" s="68">
        <f t="shared" si="64"/>
        <v>35.299999999999997</v>
      </c>
      <c r="BK48" s="68">
        <f t="shared" si="65"/>
        <v>38.700000000000003</v>
      </c>
      <c r="BL48" s="68">
        <f t="shared" si="66"/>
        <v>40.1</v>
      </c>
      <c r="BM48" s="68">
        <f t="shared" si="67"/>
        <v>42.4</v>
      </c>
      <c r="BN48" s="68">
        <f t="shared" si="68"/>
        <v>32.200000000000003</v>
      </c>
      <c r="BO48" s="69">
        <f t="shared" si="69"/>
        <v>41.6</v>
      </c>
      <c r="BP48" s="63"/>
      <c r="BQ48" s="64">
        <f t="shared" si="70"/>
        <v>0.3854166666666668</v>
      </c>
      <c r="BR48" s="67">
        <f t="shared" si="71"/>
        <v>45.4</v>
      </c>
      <c r="BS48" s="68">
        <f t="shared" si="72"/>
        <v>41.4</v>
      </c>
      <c r="BT48" s="68">
        <f t="shared" si="73"/>
        <v>45.9</v>
      </c>
      <c r="BU48" s="68">
        <f t="shared" si="74"/>
        <v>46</v>
      </c>
      <c r="BV48" s="68" t="str">
        <f t="shared" si="75"/>
        <v/>
      </c>
      <c r="BW48" s="68" t="str">
        <f t="shared" si="76"/>
        <v/>
      </c>
      <c r="BX48" s="69">
        <f t="shared" si="77"/>
        <v>50.5</v>
      </c>
      <c r="BY48" s="65"/>
      <c r="BZ48" s="66">
        <f t="shared" si="43"/>
        <v>38.557142857142864</v>
      </c>
      <c r="CA48" s="414">
        <f t="shared" si="31"/>
        <v>45.839999999999996</v>
      </c>
      <c r="CB48" s="416">
        <f t="shared" si="48"/>
        <v>60</v>
      </c>
      <c r="CC48" s="65"/>
      <c r="CD48" s="67">
        <f t="shared" si="78"/>
        <v>0</v>
      </c>
      <c r="CE48" s="68">
        <f t="shared" si="79"/>
        <v>0</v>
      </c>
      <c r="CF48" s="68">
        <f t="shared" si="80"/>
        <v>0</v>
      </c>
      <c r="CG48" s="68">
        <f t="shared" si="81"/>
        <v>0</v>
      </c>
      <c r="CH48" s="68">
        <f t="shared" si="82"/>
        <v>0</v>
      </c>
      <c r="CI48" s="68">
        <f t="shared" si="83"/>
        <v>0</v>
      </c>
      <c r="CJ48" s="69">
        <f t="shared" si="84"/>
        <v>0</v>
      </c>
      <c r="CM48" s="67">
        <f t="shared" si="44"/>
        <v>594</v>
      </c>
      <c r="CN48" s="68">
        <f t="shared" si="49"/>
        <v>988.39999999999986</v>
      </c>
      <c r="CO48" s="68">
        <f t="shared" si="50"/>
        <v>503.1</v>
      </c>
      <c r="CP48" s="68">
        <f t="shared" si="51"/>
        <v>561.4</v>
      </c>
      <c r="CQ48" s="68">
        <f t="shared" si="52"/>
        <v>339.2</v>
      </c>
      <c r="CR48" s="68">
        <f t="shared" si="53"/>
        <v>257.60000000000002</v>
      </c>
      <c r="CS48" s="69">
        <f t="shared" si="54"/>
        <v>457.6</v>
      </c>
      <c r="CU48" s="511">
        <f>SUM(SUMIF($AZ$8:$BF$8, {"NON";"NEUT"}, AZ48:BF48))/config!$AC$16</f>
        <v>16.2</v>
      </c>
      <c r="CV48" s="512">
        <f t="shared" si="45"/>
        <v>0.3854166666666668</v>
      </c>
      <c r="CY48" s="67">
        <f>SUM(C52*$CY$108, C159*$CY$109, C266*$CY$110, C373*$CY$111, C480*$CY$112, C587*$CY$113, C694*$CY$114)/config!$AC$16</f>
        <v>0</v>
      </c>
      <c r="CZ48" s="68">
        <f>SUM(SUM(D52:E52)*$CY$108, SUM(D159:E159)*$CY$109, SUM(D266:E266)*$CY$110, SUM(D373:E373)*$CY$111, SUM(D480:E480)*$CY$112, SUM(D587:E587)*$CY$113, SUM(D694:E694)*$CY$114)/config!$AC$16</f>
        <v>13.6</v>
      </c>
      <c r="DA48" s="68">
        <f>SUM(SUM(F52:G52)*$CY$108, SUM(F159:G159)*$CY$109, SUM(F266:G266)*$CY$110, SUM(F373:G373)*$CY$111, SUM(F480:G480)*$CY$112, SUM(F587:G587)*$CY$113, SUM(F694:G694)*$CY$114)/config!$AC$16</f>
        <v>2.6</v>
      </c>
      <c r="DB48" s="68">
        <f>SUM(H52*$CY$108, H159*$CY$109, H266*$CY$110, H373*$CY$111, H480*$CY$112, H587*$CY$113, H694*$CY$114)/config!$AC$16</f>
        <v>0</v>
      </c>
      <c r="DC48" s="69">
        <f>SUM(SUM(I52:L52)*$CY$108, SUM(I159:L159)*$CY$109, SUM(I266:L266)*$CY$110, SUM(I373:L373)*$CY$111, SUM(I480:L480)*$CY$112, SUM(I587:L587)*$CY$113, SUM(I694:L694)*$CY$114)/config!$AC$16</f>
        <v>0</v>
      </c>
    </row>
    <row r="49" spans="1:107" ht="15" x14ac:dyDescent="0.25">
      <c r="A49" s="440" t="s">
        <v>86</v>
      </c>
      <c r="B49" s="642">
        <v>24</v>
      </c>
      <c r="C49" s="184">
        <v>0</v>
      </c>
      <c r="D49" s="184">
        <v>21</v>
      </c>
      <c r="E49" s="184">
        <v>0</v>
      </c>
      <c r="F49" s="184">
        <v>3</v>
      </c>
      <c r="G49" s="184">
        <v>0</v>
      </c>
      <c r="H49" s="184">
        <v>0</v>
      </c>
      <c r="I49" s="184">
        <v>0</v>
      </c>
      <c r="J49" s="184">
        <v>0</v>
      </c>
      <c r="K49" s="184">
        <v>0</v>
      </c>
      <c r="L49" s="184">
        <v>0</v>
      </c>
      <c r="M49" s="654" t="s">
        <v>24</v>
      </c>
      <c r="N49" s="670" t="s">
        <v>86</v>
      </c>
      <c r="O49" s="642">
        <v>0</v>
      </c>
      <c r="P49" s="184">
        <v>0</v>
      </c>
      <c r="Q49" s="184">
        <v>0</v>
      </c>
      <c r="R49" s="184">
        <v>0</v>
      </c>
      <c r="S49" s="184">
        <v>1</v>
      </c>
      <c r="T49" s="184">
        <v>3</v>
      </c>
      <c r="U49" s="184">
        <v>8</v>
      </c>
      <c r="V49" s="184">
        <v>6</v>
      </c>
      <c r="W49" s="184">
        <v>3</v>
      </c>
      <c r="X49" s="184">
        <v>2</v>
      </c>
      <c r="Y49" s="184">
        <v>1</v>
      </c>
      <c r="Z49" s="184">
        <v>0</v>
      </c>
      <c r="AA49" s="184">
        <v>0</v>
      </c>
      <c r="AB49" s="184">
        <v>0</v>
      </c>
      <c r="AC49" s="185">
        <v>41.3</v>
      </c>
      <c r="AD49" s="185">
        <v>50</v>
      </c>
      <c r="AE49" s="184">
        <v>1</v>
      </c>
      <c r="AF49" s="185">
        <v>4.1666666666666661</v>
      </c>
      <c r="AG49" s="184">
        <v>0</v>
      </c>
      <c r="AH49" s="185">
        <v>0</v>
      </c>
      <c r="AI49" s="184">
        <v>0</v>
      </c>
      <c r="AJ49" s="643">
        <v>0</v>
      </c>
      <c r="AP49" s="401">
        <f t="shared" si="40"/>
        <v>6</v>
      </c>
      <c r="AR49" s="56">
        <f t="shared" si="41"/>
        <v>0.39583333333333348</v>
      </c>
      <c r="AS49" s="67">
        <f>SUM(C53,C160,C267,C374,C481,C588,C695)/config!$AC$13</f>
        <v>0</v>
      </c>
      <c r="AT49" s="68">
        <f>SUM(D53:E53,D160:E160,D267:E267,D374:E374,D481:E481,D588:E588,D695:E695)/config!$AC$13</f>
        <v>9.8571428571428577</v>
      </c>
      <c r="AU49" s="68">
        <f>SUM(F53:G53,F160:G160,F267:G267,F374:G374,F481:G481,F588:G588,F695:G695)/config!$AC$13</f>
        <v>0.8571428571428571</v>
      </c>
      <c r="AV49" s="68">
        <f>SUM(H53,H160,H267,H374,H481,H588,H695)/config!$AC$13</f>
        <v>0</v>
      </c>
      <c r="AW49" s="69">
        <f>SUM(I53:L53,I160:L160,I267:L267,I374:L374,I481:L481,I588:L588,I695:L695)/config!$AC$13</f>
        <v>0</v>
      </c>
      <c r="AY49" s="56">
        <f t="shared" si="42"/>
        <v>0.39583333333333348</v>
      </c>
      <c r="AZ49" s="70">
        <f t="shared" si="55"/>
        <v>14</v>
      </c>
      <c r="BA49" s="71">
        <f t="shared" si="56"/>
        <v>11</v>
      </c>
      <c r="BB49" s="71">
        <f t="shared" si="57"/>
        <v>10</v>
      </c>
      <c r="BC49" s="71">
        <f t="shared" si="58"/>
        <v>11</v>
      </c>
      <c r="BD49" s="71">
        <f t="shared" si="59"/>
        <v>9</v>
      </c>
      <c r="BE49" s="71">
        <f t="shared" si="60"/>
        <v>9</v>
      </c>
      <c r="BF49" s="72">
        <f t="shared" si="61"/>
        <v>11</v>
      </c>
      <c r="BG49" s="45"/>
      <c r="BH49" s="56">
        <f t="shared" si="62"/>
        <v>0.39583333333333348</v>
      </c>
      <c r="BI49" s="67">
        <f t="shared" si="63"/>
        <v>43.6</v>
      </c>
      <c r="BJ49" s="68">
        <f t="shared" si="64"/>
        <v>34.9</v>
      </c>
      <c r="BK49" s="68">
        <f t="shared" si="65"/>
        <v>35.700000000000003</v>
      </c>
      <c r="BL49" s="68">
        <f t="shared" si="66"/>
        <v>40.6</v>
      </c>
      <c r="BM49" s="68">
        <f t="shared" si="67"/>
        <v>43.2</v>
      </c>
      <c r="BN49" s="68">
        <f t="shared" si="68"/>
        <v>41.4</v>
      </c>
      <c r="BO49" s="69">
        <f t="shared" si="69"/>
        <v>37</v>
      </c>
      <c r="BP49" s="63"/>
      <c r="BQ49" s="64">
        <f t="shared" si="70"/>
        <v>0.39583333333333348</v>
      </c>
      <c r="BR49" s="67">
        <f t="shared" si="71"/>
        <v>50.9</v>
      </c>
      <c r="BS49" s="68">
        <f t="shared" si="72"/>
        <v>43.8</v>
      </c>
      <c r="BT49" s="68" t="str">
        <f t="shared" si="73"/>
        <v/>
      </c>
      <c r="BU49" s="68">
        <f t="shared" si="74"/>
        <v>48.1</v>
      </c>
      <c r="BV49" s="68" t="str">
        <f t="shared" si="75"/>
        <v/>
      </c>
      <c r="BW49" s="68" t="str">
        <f t="shared" si="76"/>
        <v/>
      </c>
      <c r="BX49" s="69">
        <f t="shared" si="77"/>
        <v>41</v>
      </c>
      <c r="BY49" s="65"/>
      <c r="BZ49" s="66">
        <f t="shared" si="43"/>
        <v>39.48571428571428</v>
      </c>
      <c r="CA49" s="414">
        <f t="shared" si="31"/>
        <v>45.949999999999996</v>
      </c>
      <c r="CB49" s="416">
        <f t="shared" si="48"/>
        <v>60</v>
      </c>
      <c r="CC49" s="65"/>
      <c r="CD49" s="67">
        <f t="shared" si="78"/>
        <v>0</v>
      </c>
      <c r="CE49" s="68">
        <f t="shared" si="79"/>
        <v>0</v>
      </c>
      <c r="CF49" s="68">
        <f t="shared" si="80"/>
        <v>0</v>
      </c>
      <c r="CG49" s="68">
        <f t="shared" si="81"/>
        <v>0</v>
      </c>
      <c r="CH49" s="68">
        <f t="shared" si="82"/>
        <v>0</v>
      </c>
      <c r="CI49" s="68">
        <f t="shared" si="83"/>
        <v>0</v>
      </c>
      <c r="CJ49" s="69">
        <f t="shared" si="84"/>
        <v>0</v>
      </c>
      <c r="CM49" s="67">
        <f t="shared" si="44"/>
        <v>610.4</v>
      </c>
      <c r="CN49" s="68">
        <f t="shared" si="49"/>
        <v>383.9</v>
      </c>
      <c r="CO49" s="68">
        <f t="shared" si="50"/>
        <v>357</v>
      </c>
      <c r="CP49" s="68">
        <f t="shared" si="51"/>
        <v>446.6</v>
      </c>
      <c r="CQ49" s="68">
        <f t="shared" si="52"/>
        <v>388.8</v>
      </c>
      <c r="CR49" s="68">
        <f t="shared" si="53"/>
        <v>372.59999999999997</v>
      </c>
      <c r="CS49" s="69">
        <f t="shared" si="54"/>
        <v>407</v>
      </c>
      <c r="CU49" s="511">
        <f>SUM(SUMIF($AZ$8:$BF$8, {"NON";"NEUT"}, AZ49:BF49))/config!$AC$16</f>
        <v>11.4</v>
      </c>
      <c r="CV49" s="512">
        <f t="shared" si="45"/>
        <v>0.39583333333333348</v>
      </c>
      <c r="CY49" s="67">
        <f>SUM(C53*$CY$108, C160*$CY$109, C267*$CY$110, C374*$CY$111, C481*$CY$112, C588*$CY$113, C695*$CY$114)/config!$AC$16</f>
        <v>0</v>
      </c>
      <c r="CZ49" s="68">
        <f>SUM(SUM(D53:E53)*$CY$108, SUM(D160:E160)*$CY$109, SUM(D267:E267)*$CY$110, SUM(D374:E374)*$CY$111, SUM(D481:E481)*$CY$112, SUM(D588:E588)*$CY$113, SUM(D695:E695)*$CY$114)/config!$AC$16</f>
        <v>10.199999999999999</v>
      </c>
      <c r="DA49" s="68">
        <f>SUM(SUM(F53:G53)*$CY$108, SUM(F160:G160)*$CY$109, SUM(F267:G267)*$CY$110, SUM(F374:G374)*$CY$111, SUM(F481:G481)*$CY$112, SUM(F588:G588)*$CY$113, SUM(F695:G695)*$CY$114)/config!$AC$16</f>
        <v>1.2</v>
      </c>
      <c r="DB49" s="68">
        <f>SUM(H53*$CY$108, H160*$CY$109, H267*$CY$110, H374*$CY$111, H481*$CY$112, H588*$CY$113, H695*$CY$114)/config!$AC$16</f>
        <v>0</v>
      </c>
      <c r="DC49" s="69">
        <f>SUM(SUM(I53:L53)*$CY$108, SUM(I160:L160)*$CY$109, SUM(I267:L267)*$CY$110, SUM(I374:L374)*$CY$111, SUM(I481:L481)*$CY$112, SUM(I588:L588)*$CY$113, SUM(I695:L695)*$CY$114)/config!$AC$16</f>
        <v>0</v>
      </c>
    </row>
    <row r="50" spans="1:107" ht="15" x14ac:dyDescent="0.25">
      <c r="A50" s="440" t="s">
        <v>87</v>
      </c>
      <c r="B50" s="642">
        <v>14</v>
      </c>
      <c r="C50" s="184">
        <v>0</v>
      </c>
      <c r="D50" s="184">
        <v>12</v>
      </c>
      <c r="E50" s="184">
        <v>1</v>
      </c>
      <c r="F50" s="184">
        <v>1</v>
      </c>
      <c r="G50" s="184">
        <v>0</v>
      </c>
      <c r="H50" s="184">
        <v>0</v>
      </c>
      <c r="I50" s="184">
        <v>0</v>
      </c>
      <c r="J50" s="184">
        <v>0</v>
      </c>
      <c r="K50" s="184">
        <v>0</v>
      </c>
      <c r="L50" s="184">
        <v>0</v>
      </c>
      <c r="M50" s="654" t="s">
        <v>24</v>
      </c>
      <c r="N50" s="670" t="s">
        <v>87</v>
      </c>
      <c r="O50" s="642">
        <v>0</v>
      </c>
      <c r="P50" s="184">
        <v>0</v>
      </c>
      <c r="Q50" s="184">
        <v>0</v>
      </c>
      <c r="R50" s="184">
        <v>0</v>
      </c>
      <c r="S50" s="184">
        <v>0</v>
      </c>
      <c r="T50" s="184">
        <v>4</v>
      </c>
      <c r="U50" s="184">
        <v>6</v>
      </c>
      <c r="V50" s="184">
        <v>3</v>
      </c>
      <c r="W50" s="184">
        <v>1</v>
      </c>
      <c r="X50" s="184">
        <v>0</v>
      </c>
      <c r="Y50" s="184">
        <v>0</v>
      </c>
      <c r="Z50" s="184">
        <v>0</v>
      </c>
      <c r="AA50" s="184">
        <v>0</v>
      </c>
      <c r="AB50" s="184">
        <v>0</v>
      </c>
      <c r="AC50" s="185">
        <v>37.700000000000003</v>
      </c>
      <c r="AD50" s="185">
        <v>44.3</v>
      </c>
      <c r="AE50" s="184">
        <v>0</v>
      </c>
      <c r="AF50" s="185">
        <v>0</v>
      </c>
      <c r="AG50" s="184">
        <v>0</v>
      </c>
      <c r="AH50" s="185">
        <v>0</v>
      </c>
      <c r="AI50" s="184">
        <v>0</v>
      </c>
      <c r="AJ50" s="643">
        <v>0</v>
      </c>
      <c r="AP50" s="401">
        <f t="shared" si="40"/>
        <v>13</v>
      </c>
      <c r="AR50" s="56">
        <f t="shared" si="41"/>
        <v>0.40625000000000017</v>
      </c>
      <c r="AS50" s="67">
        <f>SUM(C54,C161,C268,C375,C482,C589,C696)/config!$AC$13</f>
        <v>0.2857142857142857</v>
      </c>
      <c r="AT50" s="68">
        <f>SUM(D54:E54,D161:E161,D268:E268,D375:E375,D482:E482,D589:E589,D696:E696)/config!$AC$13</f>
        <v>14.142857142857142</v>
      </c>
      <c r="AU50" s="68">
        <f>SUM(F54:G54,F161:G161,F268:G268,F375:G375,F482:G482,F589:G589,F696:G696)/config!$AC$13</f>
        <v>2</v>
      </c>
      <c r="AV50" s="68">
        <f>SUM(H54,H161,H268,H375,H482,H589,H696)/config!$AC$13</f>
        <v>0</v>
      </c>
      <c r="AW50" s="69">
        <f>SUM(I54:L54,I161:L161,I268:L268,I375:L375,I482:L482,I589:L589,I696:L696)/config!$AC$13</f>
        <v>0.2857142857142857</v>
      </c>
      <c r="AY50" s="56">
        <f t="shared" si="42"/>
        <v>0.40625000000000017</v>
      </c>
      <c r="AZ50" s="70">
        <f t="shared" si="55"/>
        <v>17</v>
      </c>
      <c r="BA50" s="71">
        <f t="shared" si="56"/>
        <v>25</v>
      </c>
      <c r="BB50" s="71">
        <f t="shared" si="57"/>
        <v>18</v>
      </c>
      <c r="BC50" s="71">
        <f t="shared" si="58"/>
        <v>10</v>
      </c>
      <c r="BD50" s="71">
        <f t="shared" si="59"/>
        <v>17</v>
      </c>
      <c r="BE50" s="71">
        <f t="shared" si="60"/>
        <v>14</v>
      </c>
      <c r="BF50" s="72">
        <f t="shared" si="61"/>
        <v>16</v>
      </c>
      <c r="BG50" s="45"/>
      <c r="BH50" s="56">
        <f t="shared" si="62"/>
        <v>0.40625000000000017</v>
      </c>
      <c r="BI50" s="67">
        <f t="shared" si="63"/>
        <v>37.9</v>
      </c>
      <c r="BJ50" s="68">
        <f t="shared" si="64"/>
        <v>33</v>
      </c>
      <c r="BK50" s="68">
        <f t="shared" si="65"/>
        <v>34.700000000000003</v>
      </c>
      <c r="BL50" s="68">
        <f t="shared" si="66"/>
        <v>35.5</v>
      </c>
      <c r="BM50" s="68">
        <f t="shared" si="67"/>
        <v>36.6</v>
      </c>
      <c r="BN50" s="68">
        <f t="shared" si="68"/>
        <v>39.4</v>
      </c>
      <c r="BO50" s="69">
        <f t="shared" si="69"/>
        <v>36.9</v>
      </c>
      <c r="BP50" s="63"/>
      <c r="BQ50" s="64">
        <f t="shared" si="70"/>
        <v>0.40625000000000017</v>
      </c>
      <c r="BR50" s="67">
        <f t="shared" si="71"/>
        <v>44.6</v>
      </c>
      <c r="BS50" s="68">
        <f t="shared" si="72"/>
        <v>37.6</v>
      </c>
      <c r="BT50" s="68">
        <f t="shared" si="73"/>
        <v>44.7</v>
      </c>
      <c r="BU50" s="68" t="str">
        <f t="shared" si="74"/>
        <v/>
      </c>
      <c r="BV50" s="68">
        <f t="shared" si="75"/>
        <v>43.2</v>
      </c>
      <c r="BW50" s="68">
        <f t="shared" si="76"/>
        <v>49.3</v>
      </c>
      <c r="BX50" s="69">
        <f t="shared" si="77"/>
        <v>44.2</v>
      </c>
      <c r="BY50" s="65"/>
      <c r="BZ50" s="66">
        <f t="shared" si="43"/>
        <v>36.285714285714292</v>
      </c>
      <c r="CA50" s="414">
        <f t="shared" si="31"/>
        <v>43.933333333333337</v>
      </c>
      <c r="CB50" s="416">
        <f t="shared" si="48"/>
        <v>60</v>
      </c>
      <c r="CC50" s="65"/>
      <c r="CD50" s="67">
        <f t="shared" si="78"/>
        <v>0</v>
      </c>
      <c r="CE50" s="68">
        <f t="shared" si="79"/>
        <v>0</v>
      </c>
      <c r="CF50" s="68">
        <f t="shared" si="80"/>
        <v>0</v>
      </c>
      <c r="CG50" s="68">
        <f t="shared" si="81"/>
        <v>0</v>
      </c>
      <c r="CH50" s="68">
        <f t="shared" si="82"/>
        <v>0</v>
      </c>
      <c r="CI50" s="68">
        <f t="shared" si="83"/>
        <v>0</v>
      </c>
      <c r="CJ50" s="69">
        <f t="shared" si="84"/>
        <v>0</v>
      </c>
      <c r="CM50" s="67">
        <f t="shared" si="44"/>
        <v>644.29999999999995</v>
      </c>
      <c r="CN50" s="68">
        <f t="shared" si="49"/>
        <v>825</v>
      </c>
      <c r="CO50" s="68">
        <f t="shared" si="50"/>
        <v>624.6</v>
      </c>
      <c r="CP50" s="68">
        <f t="shared" si="51"/>
        <v>355</v>
      </c>
      <c r="CQ50" s="68">
        <f t="shared" si="52"/>
        <v>622.20000000000005</v>
      </c>
      <c r="CR50" s="68">
        <f t="shared" si="53"/>
        <v>551.6</v>
      </c>
      <c r="CS50" s="69">
        <f t="shared" si="54"/>
        <v>590.4</v>
      </c>
      <c r="CU50" s="511">
        <f>SUM(SUMIF($AZ$8:$BF$8, {"NON";"NEUT"}, AZ50:BF50))/config!$AC$16</f>
        <v>17.2</v>
      </c>
      <c r="CV50" s="512">
        <f t="shared" si="45"/>
        <v>0.40625000000000017</v>
      </c>
      <c r="CY50" s="67">
        <f>SUM(C54*$CY$108, C161*$CY$109, C268*$CY$110, C375*$CY$111, C482*$CY$112, C589*$CY$113, C696*$CY$114)/config!$AC$16</f>
        <v>0</v>
      </c>
      <c r="CZ50" s="68">
        <f>SUM(SUM(D54:E54)*$CY$108, SUM(D161:E161)*$CY$109, SUM(D268:E268)*$CY$110, SUM(D375:E375)*$CY$111, SUM(D482:E482)*$CY$112, SUM(D589:E589)*$CY$113, SUM(D696:E696)*$CY$114)/config!$AC$16</f>
        <v>14.4</v>
      </c>
      <c r="DA50" s="68">
        <f>SUM(SUM(F54:G54)*$CY$108, SUM(F161:G161)*$CY$109, SUM(F268:G268)*$CY$110, SUM(F375:G375)*$CY$111, SUM(F482:G482)*$CY$112, SUM(F589:G589)*$CY$113, SUM(F696:G696)*$CY$114)/config!$AC$16</f>
        <v>2.4</v>
      </c>
      <c r="DB50" s="68">
        <f>SUM(H54*$CY$108, H161*$CY$109, H268*$CY$110, H375*$CY$111, H482*$CY$112, H589*$CY$113, H696*$CY$114)/config!$AC$16</f>
        <v>0</v>
      </c>
      <c r="DC50" s="69">
        <f>SUM(SUM(I54:L54)*$CY$108, SUM(I161:L161)*$CY$109, SUM(I268:L268)*$CY$110, SUM(I375:L375)*$CY$111, SUM(I482:L482)*$CY$112, SUM(I589:L589)*$CY$113, SUM(I696:L696)*$CY$114)/config!$AC$16</f>
        <v>0.4</v>
      </c>
    </row>
    <row r="51" spans="1:107" ht="15" x14ac:dyDescent="0.25">
      <c r="A51" s="440" t="s">
        <v>53</v>
      </c>
      <c r="B51" s="646">
        <v>15</v>
      </c>
      <c r="C51" s="186">
        <v>0</v>
      </c>
      <c r="D51" s="186">
        <v>13</v>
      </c>
      <c r="E51" s="186">
        <v>0</v>
      </c>
      <c r="F51" s="186">
        <v>2</v>
      </c>
      <c r="G51" s="186">
        <v>0</v>
      </c>
      <c r="H51" s="186">
        <v>0</v>
      </c>
      <c r="I51" s="186">
        <v>0</v>
      </c>
      <c r="J51" s="186">
        <v>0</v>
      </c>
      <c r="K51" s="186">
        <v>0</v>
      </c>
      <c r="L51" s="186">
        <v>0</v>
      </c>
      <c r="M51" s="656" t="s">
        <v>24</v>
      </c>
      <c r="N51" s="670" t="s">
        <v>53</v>
      </c>
      <c r="O51" s="646">
        <v>0</v>
      </c>
      <c r="P51" s="186">
        <v>0</v>
      </c>
      <c r="Q51" s="186">
        <v>0</v>
      </c>
      <c r="R51" s="186">
        <v>0</v>
      </c>
      <c r="S51" s="186">
        <v>0</v>
      </c>
      <c r="T51" s="186">
        <v>4</v>
      </c>
      <c r="U51" s="186">
        <v>5</v>
      </c>
      <c r="V51" s="186">
        <v>4</v>
      </c>
      <c r="W51" s="186">
        <v>2</v>
      </c>
      <c r="X51" s="186">
        <v>0</v>
      </c>
      <c r="Y51" s="186">
        <v>0</v>
      </c>
      <c r="Z51" s="186">
        <v>0</v>
      </c>
      <c r="AA51" s="186">
        <v>0</v>
      </c>
      <c r="AB51" s="186">
        <v>0</v>
      </c>
      <c r="AC51" s="187">
        <v>38.6</v>
      </c>
      <c r="AD51" s="187">
        <v>45.5</v>
      </c>
      <c r="AE51" s="186">
        <v>0</v>
      </c>
      <c r="AF51" s="187">
        <v>0</v>
      </c>
      <c r="AG51" s="186">
        <v>0</v>
      </c>
      <c r="AH51" s="187">
        <v>0</v>
      </c>
      <c r="AI51" s="186">
        <v>0</v>
      </c>
      <c r="AJ51" s="647">
        <v>0</v>
      </c>
      <c r="AP51" s="401">
        <f t="shared" si="40"/>
        <v>9</v>
      </c>
      <c r="AR51" s="56">
        <f t="shared" si="41"/>
        <v>0.41666666666666685</v>
      </c>
      <c r="AS51" s="67">
        <f>SUM(C55,C162,C269,C376,C483,C590,C697)/config!$AC$13</f>
        <v>0.14285714285714285</v>
      </c>
      <c r="AT51" s="68">
        <f>SUM(D55:E55,D162:E162,D269:E269,D376:E376,D483:E483,D590:E590,D697:E697)/config!$AC$13</f>
        <v>9.4285714285714288</v>
      </c>
      <c r="AU51" s="68">
        <f>SUM(F55:G55,F162:G162,F269:G269,F376:G376,F483:G483,F590:G590,F697:G697)/config!$AC$13</f>
        <v>1.2857142857142858</v>
      </c>
      <c r="AV51" s="68">
        <f>SUM(H55,H162,H269,H376,H483,H590,H697)/config!$AC$13</f>
        <v>0</v>
      </c>
      <c r="AW51" s="69">
        <f>SUM(I55:L55,I162:L162,I269:L269,I376:L376,I483:L483,I590:L590,I697:L697)/config!$AC$13</f>
        <v>0</v>
      </c>
      <c r="AY51" s="56">
        <f t="shared" si="42"/>
        <v>0.41666666666666685</v>
      </c>
      <c r="AZ51" s="70">
        <f t="shared" si="55"/>
        <v>12</v>
      </c>
      <c r="BA51" s="71">
        <f t="shared" si="56"/>
        <v>11</v>
      </c>
      <c r="BB51" s="71">
        <f t="shared" si="57"/>
        <v>14</v>
      </c>
      <c r="BC51" s="71">
        <f t="shared" si="58"/>
        <v>14</v>
      </c>
      <c r="BD51" s="71">
        <f t="shared" si="59"/>
        <v>10</v>
      </c>
      <c r="BE51" s="71">
        <f t="shared" si="60"/>
        <v>4</v>
      </c>
      <c r="BF51" s="72">
        <f t="shared" si="61"/>
        <v>11</v>
      </c>
      <c r="BG51" s="45"/>
      <c r="BH51" s="56">
        <f t="shared" si="62"/>
        <v>0.41666666666666685</v>
      </c>
      <c r="BI51" s="67">
        <f t="shared" si="63"/>
        <v>37.200000000000003</v>
      </c>
      <c r="BJ51" s="68">
        <f t="shared" si="64"/>
        <v>35.5</v>
      </c>
      <c r="BK51" s="68">
        <f t="shared" si="65"/>
        <v>33.700000000000003</v>
      </c>
      <c r="BL51" s="68">
        <f t="shared" si="66"/>
        <v>37.700000000000003</v>
      </c>
      <c r="BM51" s="68">
        <f t="shared" si="67"/>
        <v>39.9</v>
      </c>
      <c r="BN51" s="68">
        <f t="shared" si="68"/>
        <v>39.700000000000003</v>
      </c>
      <c r="BO51" s="69">
        <f t="shared" si="69"/>
        <v>36.5</v>
      </c>
      <c r="BP51" s="63"/>
      <c r="BQ51" s="64">
        <f t="shared" si="70"/>
        <v>0.41666666666666685</v>
      </c>
      <c r="BR51" s="67">
        <f t="shared" si="71"/>
        <v>46.8</v>
      </c>
      <c r="BS51" s="68">
        <f t="shared" si="72"/>
        <v>46.5</v>
      </c>
      <c r="BT51" s="68">
        <f t="shared" si="73"/>
        <v>42.5</v>
      </c>
      <c r="BU51" s="68">
        <f t="shared" si="74"/>
        <v>46.2</v>
      </c>
      <c r="BV51" s="68" t="str">
        <f t="shared" si="75"/>
        <v/>
      </c>
      <c r="BW51" s="68" t="str">
        <f t="shared" si="76"/>
        <v/>
      </c>
      <c r="BX51" s="69">
        <f t="shared" si="77"/>
        <v>43.9</v>
      </c>
      <c r="BY51" s="65"/>
      <c r="BZ51" s="66">
        <f t="shared" si="43"/>
        <v>37.171428571428578</v>
      </c>
      <c r="CA51" s="414">
        <f t="shared" si="31"/>
        <v>45.18</v>
      </c>
      <c r="CB51" s="416">
        <f t="shared" si="48"/>
        <v>60</v>
      </c>
      <c r="CC51" s="65"/>
      <c r="CD51" s="67">
        <f t="shared" si="78"/>
        <v>0</v>
      </c>
      <c r="CE51" s="68">
        <f t="shared" si="79"/>
        <v>0</v>
      </c>
      <c r="CF51" s="68">
        <f t="shared" si="80"/>
        <v>0</v>
      </c>
      <c r="CG51" s="68">
        <f t="shared" si="81"/>
        <v>0</v>
      </c>
      <c r="CH51" s="68">
        <f t="shared" si="82"/>
        <v>0</v>
      </c>
      <c r="CI51" s="68">
        <f t="shared" si="83"/>
        <v>0</v>
      </c>
      <c r="CJ51" s="69">
        <f t="shared" si="84"/>
        <v>0</v>
      </c>
      <c r="CM51" s="67">
        <f t="shared" si="44"/>
        <v>446.40000000000003</v>
      </c>
      <c r="CN51" s="68">
        <f t="shared" si="49"/>
        <v>390.5</v>
      </c>
      <c r="CO51" s="68">
        <f t="shared" si="50"/>
        <v>471.80000000000007</v>
      </c>
      <c r="CP51" s="68">
        <f t="shared" si="51"/>
        <v>527.80000000000007</v>
      </c>
      <c r="CQ51" s="68">
        <f t="shared" si="52"/>
        <v>399</v>
      </c>
      <c r="CR51" s="68">
        <f t="shared" si="53"/>
        <v>158.80000000000001</v>
      </c>
      <c r="CS51" s="69">
        <f t="shared" si="54"/>
        <v>401.5</v>
      </c>
      <c r="CU51" s="511">
        <f>SUM(SUMIF($AZ$8:$BF$8, {"NON";"NEUT"}, AZ51:BF51))/config!$AC$16</f>
        <v>12.4</v>
      </c>
      <c r="CV51" s="512">
        <f t="shared" si="45"/>
        <v>0.41666666666666685</v>
      </c>
      <c r="CY51" s="67">
        <f>SUM(C55*$CY$108, C162*$CY$109, C269*$CY$110, C376*$CY$111, C483*$CY$112, C590*$CY$113, C697*$CY$114)/config!$AC$16</f>
        <v>0.2</v>
      </c>
      <c r="CZ51" s="68">
        <f>SUM(SUM(D55:E55)*$CY$108, SUM(D162:E162)*$CY$109, SUM(D269:E269)*$CY$110, SUM(D376:E376)*$CY$111, SUM(D483:E483)*$CY$112, SUM(D590:E590)*$CY$113, SUM(D697:E697)*$CY$114)/config!$AC$16</f>
        <v>10.4</v>
      </c>
      <c r="DA51" s="68">
        <f>SUM(SUM(F55:G55)*$CY$108, SUM(F162:G162)*$CY$109, SUM(F269:G269)*$CY$110, SUM(F376:G376)*$CY$111, SUM(F483:G483)*$CY$112, SUM(F590:G590)*$CY$113, SUM(F697:G697)*$CY$114)/config!$AC$16</f>
        <v>1.8</v>
      </c>
      <c r="DB51" s="68">
        <f>SUM(H55*$CY$108, H162*$CY$109, H269*$CY$110, H376*$CY$111, H483*$CY$112, H590*$CY$113, H697*$CY$114)/config!$AC$16</f>
        <v>0</v>
      </c>
      <c r="DC51" s="69">
        <f>SUM(SUM(I55:L55)*$CY$108, SUM(I162:L162)*$CY$109, SUM(I269:L269)*$CY$110, SUM(I376:L376)*$CY$111, SUM(I483:L483)*$CY$112, SUM(I590:L590)*$CY$113, SUM(I697:L697)*$CY$114)/config!$AC$16</f>
        <v>0</v>
      </c>
    </row>
    <row r="52" spans="1:107" ht="15" x14ac:dyDescent="0.25">
      <c r="A52" s="440" t="s">
        <v>88</v>
      </c>
      <c r="B52" s="642">
        <v>15</v>
      </c>
      <c r="C52" s="184">
        <v>0</v>
      </c>
      <c r="D52" s="184">
        <v>15</v>
      </c>
      <c r="E52" s="184">
        <v>0</v>
      </c>
      <c r="F52" s="184">
        <v>0</v>
      </c>
      <c r="G52" s="184">
        <v>0</v>
      </c>
      <c r="H52" s="184">
        <v>0</v>
      </c>
      <c r="I52" s="184">
        <v>0</v>
      </c>
      <c r="J52" s="184">
        <v>0</v>
      </c>
      <c r="K52" s="184">
        <v>0</v>
      </c>
      <c r="L52" s="184">
        <v>0</v>
      </c>
      <c r="M52" s="654" t="s">
        <v>24</v>
      </c>
      <c r="N52" s="670" t="s">
        <v>88</v>
      </c>
      <c r="O52" s="642">
        <v>0</v>
      </c>
      <c r="P52" s="184">
        <v>0</v>
      </c>
      <c r="Q52" s="184">
        <v>0</v>
      </c>
      <c r="R52" s="184">
        <v>0</v>
      </c>
      <c r="S52" s="184">
        <v>0</v>
      </c>
      <c r="T52" s="184">
        <v>3</v>
      </c>
      <c r="U52" s="184">
        <v>4</v>
      </c>
      <c r="V52" s="184">
        <v>5</v>
      </c>
      <c r="W52" s="184">
        <v>3</v>
      </c>
      <c r="X52" s="184">
        <v>0</v>
      </c>
      <c r="Y52" s="184">
        <v>0</v>
      </c>
      <c r="Z52" s="184">
        <v>0</v>
      </c>
      <c r="AA52" s="184">
        <v>0</v>
      </c>
      <c r="AB52" s="184">
        <v>0</v>
      </c>
      <c r="AC52" s="185">
        <v>39.6</v>
      </c>
      <c r="AD52" s="185">
        <v>45.4</v>
      </c>
      <c r="AE52" s="184">
        <v>0</v>
      </c>
      <c r="AF52" s="185">
        <v>0</v>
      </c>
      <c r="AG52" s="184">
        <v>0</v>
      </c>
      <c r="AH52" s="185">
        <v>0</v>
      </c>
      <c r="AI52" s="184">
        <v>0</v>
      </c>
      <c r="AJ52" s="643">
        <v>0</v>
      </c>
      <c r="AP52" s="401">
        <f t="shared" si="40"/>
        <v>5</v>
      </c>
      <c r="AR52" s="56">
        <f t="shared" si="41"/>
        <v>0.42708333333333354</v>
      </c>
      <c r="AS52" s="67">
        <f>SUM(C56,C163,C270,C377,C484,C591,C698)/config!$AC$13</f>
        <v>0.14285714285714285</v>
      </c>
      <c r="AT52" s="68">
        <f>SUM(D56:E56,D163:E163,D270:E270,D377:E377,D484:E484,D591:E591,D698:E698)/config!$AC$13</f>
        <v>8.1428571428571423</v>
      </c>
      <c r="AU52" s="68">
        <f>SUM(F56:G56,F163:G163,F270:G270,F377:G377,F484:G484,F591:G591,F698:G698)/config!$AC$13</f>
        <v>0.7142857142857143</v>
      </c>
      <c r="AV52" s="68">
        <f>SUM(H56,H163,H270,H377,H484,H591,H698)/config!$AC$13</f>
        <v>0</v>
      </c>
      <c r="AW52" s="69">
        <f>SUM(I56:L56,I163:L163,I270:L270,I377:L377,I484:L484,I591:L591,I698:L698)/config!$AC$13</f>
        <v>0</v>
      </c>
      <c r="AY52" s="56">
        <f t="shared" si="42"/>
        <v>0.42708333333333354</v>
      </c>
      <c r="AZ52" s="70">
        <f t="shared" si="55"/>
        <v>9</v>
      </c>
      <c r="BA52" s="71">
        <f t="shared" si="56"/>
        <v>8</v>
      </c>
      <c r="BB52" s="71">
        <f t="shared" si="57"/>
        <v>11</v>
      </c>
      <c r="BC52" s="71">
        <f t="shared" si="58"/>
        <v>8</v>
      </c>
      <c r="BD52" s="71">
        <f t="shared" si="59"/>
        <v>7</v>
      </c>
      <c r="BE52" s="71">
        <f t="shared" si="60"/>
        <v>8</v>
      </c>
      <c r="BF52" s="72">
        <f t="shared" si="61"/>
        <v>12</v>
      </c>
      <c r="BG52" s="45"/>
      <c r="BH52" s="56">
        <f t="shared" si="62"/>
        <v>0.42708333333333354</v>
      </c>
      <c r="BI52" s="67">
        <f t="shared" si="63"/>
        <v>38.700000000000003</v>
      </c>
      <c r="BJ52" s="68">
        <f t="shared" si="64"/>
        <v>33</v>
      </c>
      <c r="BK52" s="68">
        <f t="shared" si="65"/>
        <v>38.799999999999997</v>
      </c>
      <c r="BL52" s="68">
        <f t="shared" si="66"/>
        <v>41.6</v>
      </c>
      <c r="BM52" s="68">
        <f t="shared" si="67"/>
        <v>32.299999999999997</v>
      </c>
      <c r="BN52" s="68">
        <f t="shared" si="68"/>
        <v>41.6</v>
      </c>
      <c r="BO52" s="69">
        <f t="shared" si="69"/>
        <v>37.700000000000003</v>
      </c>
      <c r="BP52" s="63"/>
      <c r="BQ52" s="64">
        <f t="shared" si="70"/>
        <v>0.42708333333333354</v>
      </c>
      <c r="BR52" s="67" t="str">
        <f t="shared" si="71"/>
        <v/>
      </c>
      <c r="BS52" s="68" t="str">
        <f t="shared" si="72"/>
        <v/>
      </c>
      <c r="BT52" s="68">
        <f t="shared" si="73"/>
        <v>48.4</v>
      </c>
      <c r="BU52" s="68" t="str">
        <f t="shared" si="74"/>
        <v/>
      </c>
      <c r="BV52" s="68" t="str">
        <f t="shared" si="75"/>
        <v/>
      </c>
      <c r="BW52" s="68" t="str">
        <f t="shared" si="76"/>
        <v/>
      </c>
      <c r="BX52" s="69">
        <f t="shared" si="77"/>
        <v>47.5</v>
      </c>
      <c r="BY52" s="65"/>
      <c r="BZ52" s="66">
        <f t="shared" si="43"/>
        <v>37.671428571428571</v>
      </c>
      <c r="CA52" s="414">
        <f t="shared" si="31"/>
        <v>47.95</v>
      </c>
      <c r="CB52" s="416">
        <f t="shared" si="48"/>
        <v>60</v>
      </c>
      <c r="CC52" s="65"/>
      <c r="CD52" s="67">
        <f t="shared" si="78"/>
        <v>0</v>
      </c>
      <c r="CE52" s="68">
        <f t="shared" si="79"/>
        <v>0</v>
      </c>
      <c r="CF52" s="68">
        <f t="shared" si="80"/>
        <v>0</v>
      </c>
      <c r="CG52" s="68">
        <f t="shared" si="81"/>
        <v>0</v>
      </c>
      <c r="CH52" s="68">
        <f t="shared" si="82"/>
        <v>0</v>
      </c>
      <c r="CI52" s="68">
        <f t="shared" si="83"/>
        <v>0</v>
      </c>
      <c r="CJ52" s="69">
        <f t="shared" si="84"/>
        <v>0</v>
      </c>
      <c r="CM52" s="67">
        <f t="shared" si="44"/>
        <v>348.3</v>
      </c>
      <c r="CN52" s="68">
        <f t="shared" si="49"/>
        <v>264</v>
      </c>
      <c r="CO52" s="68">
        <f t="shared" si="50"/>
        <v>426.79999999999995</v>
      </c>
      <c r="CP52" s="68">
        <f t="shared" si="51"/>
        <v>332.8</v>
      </c>
      <c r="CQ52" s="68">
        <f t="shared" si="52"/>
        <v>226.09999999999997</v>
      </c>
      <c r="CR52" s="68">
        <f t="shared" si="53"/>
        <v>332.8</v>
      </c>
      <c r="CS52" s="69">
        <f t="shared" si="54"/>
        <v>452.40000000000003</v>
      </c>
      <c r="CU52" s="511">
        <f>SUM(SUMIF($AZ$8:$BF$8, {"NON";"NEUT"}, AZ52:BF52))/config!$AC$16</f>
        <v>9.6</v>
      </c>
      <c r="CV52" s="512">
        <f t="shared" si="45"/>
        <v>0.42708333333333354</v>
      </c>
      <c r="CY52" s="67">
        <f>SUM(C56*$CY$108, C163*$CY$109, C270*$CY$110, C377*$CY$111, C484*$CY$112, C591*$CY$113, C698*$CY$114)/config!$AC$16</f>
        <v>0</v>
      </c>
      <c r="CZ52" s="68">
        <f>SUM(SUM(D56:E56)*$CY$108, SUM(D163:E163)*$CY$109, SUM(D270:E270)*$CY$110, SUM(D377:E377)*$CY$111, SUM(D484:E484)*$CY$112, SUM(D591:E591)*$CY$113, SUM(D698:E698)*$CY$114)/config!$AC$16</f>
        <v>8.6</v>
      </c>
      <c r="DA52" s="68">
        <f>SUM(SUM(F56:G56)*$CY$108, SUM(F163:G163)*$CY$109, SUM(F270:G270)*$CY$110, SUM(F377:G377)*$CY$111, SUM(F484:G484)*$CY$112, SUM(F591:G591)*$CY$113, SUM(F698:G698)*$CY$114)/config!$AC$16</f>
        <v>1</v>
      </c>
      <c r="DB52" s="68">
        <f>SUM(H56*$CY$108, H163*$CY$109, H270*$CY$110, H377*$CY$111, H484*$CY$112, H591*$CY$113, H698*$CY$114)/config!$AC$16</f>
        <v>0</v>
      </c>
      <c r="DC52" s="69">
        <f>SUM(SUM(I56:L56)*$CY$108, SUM(I163:L163)*$CY$109, SUM(I270:L270)*$CY$110, SUM(I377:L377)*$CY$111, SUM(I484:L484)*$CY$112, SUM(I591:L591)*$CY$113, SUM(I698:L698)*$CY$114)/config!$AC$16</f>
        <v>0</v>
      </c>
    </row>
    <row r="53" spans="1:107" ht="15" x14ac:dyDescent="0.25">
      <c r="A53" s="440" t="s">
        <v>89</v>
      </c>
      <c r="B53" s="642">
        <v>14</v>
      </c>
      <c r="C53" s="184">
        <v>0</v>
      </c>
      <c r="D53" s="184">
        <v>13</v>
      </c>
      <c r="E53" s="184">
        <v>0</v>
      </c>
      <c r="F53" s="184">
        <v>1</v>
      </c>
      <c r="G53" s="184">
        <v>0</v>
      </c>
      <c r="H53" s="184">
        <v>0</v>
      </c>
      <c r="I53" s="184">
        <v>0</v>
      </c>
      <c r="J53" s="184">
        <v>0</v>
      </c>
      <c r="K53" s="184">
        <v>0</v>
      </c>
      <c r="L53" s="184">
        <v>0</v>
      </c>
      <c r="M53" s="654" t="s">
        <v>24</v>
      </c>
      <c r="N53" s="670" t="s">
        <v>89</v>
      </c>
      <c r="O53" s="642">
        <v>0</v>
      </c>
      <c r="P53" s="184">
        <v>0</v>
      </c>
      <c r="Q53" s="184">
        <v>0</v>
      </c>
      <c r="R53" s="184">
        <v>0</v>
      </c>
      <c r="S53" s="184">
        <v>0</v>
      </c>
      <c r="T53" s="184">
        <v>0</v>
      </c>
      <c r="U53" s="184">
        <v>3</v>
      </c>
      <c r="V53" s="184">
        <v>7</v>
      </c>
      <c r="W53" s="184">
        <v>2</v>
      </c>
      <c r="X53" s="184">
        <v>2</v>
      </c>
      <c r="Y53" s="184">
        <v>0</v>
      </c>
      <c r="Z53" s="184">
        <v>0</v>
      </c>
      <c r="AA53" s="184">
        <v>0</v>
      </c>
      <c r="AB53" s="184">
        <v>0</v>
      </c>
      <c r="AC53" s="185">
        <v>43.6</v>
      </c>
      <c r="AD53" s="185">
        <v>50.9</v>
      </c>
      <c r="AE53" s="184">
        <v>0</v>
      </c>
      <c r="AF53" s="185">
        <v>0</v>
      </c>
      <c r="AG53" s="184">
        <v>0</v>
      </c>
      <c r="AH53" s="185">
        <v>0</v>
      </c>
      <c r="AI53" s="184">
        <v>0</v>
      </c>
      <c r="AJ53" s="643">
        <v>0</v>
      </c>
      <c r="AP53" s="401">
        <f t="shared" si="40"/>
        <v>5</v>
      </c>
      <c r="AR53" s="56">
        <f t="shared" si="41"/>
        <v>0.43750000000000022</v>
      </c>
      <c r="AS53" s="67">
        <f>SUM(C57,C164,C271,C378,C485,C592,C699)/config!$AC$13</f>
        <v>0.5714285714285714</v>
      </c>
      <c r="AT53" s="68">
        <f>SUM(D57:E57,D164:E164,D271:E271,D378:E378,D485:E485,D592:E592,D699:E699)/config!$AC$13</f>
        <v>9</v>
      </c>
      <c r="AU53" s="68">
        <f>SUM(F57:G57,F164:G164,F271:G271,F378:G378,F485:G485,F592:G592,F699:G699)/config!$AC$13</f>
        <v>0.7142857142857143</v>
      </c>
      <c r="AV53" s="68">
        <f>SUM(H57,H164,H271,H378,H485,H592,H699)/config!$AC$13</f>
        <v>0</v>
      </c>
      <c r="AW53" s="69">
        <f>SUM(I57:L57,I164:L164,I271:L271,I378:L378,I485:L485,I592:L592,I699:L699)/config!$AC$13</f>
        <v>0</v>
      </c>
      <c r="AY53" s="56">
        <f t="shared" si="42"/>
        <v>0.43750000000000022</v>
      </c>
      <c r="AZ53" s="70">
        <f t="shared" si="55"/>
        <v>11</v>
      </c>
      <c r="BA53" s="71">
        <f t="shared" si="56"/>
        <v>11</v>
      </c>
      <c r="BB53" s="71">
        <f t="shared" si="57"/>
        <v>9</v>
      </c>
      <c r="BC53" s="71">
        <f t="shared" si="58"/>
        <v>7</v>
      </c>
      <c r="BD53" s="71">
        <f t="shared" si="59"/>
        <v>12</v>
      </c>
      <c r="BE53" s="71">
        <f t="shared" si="60"/>
        <v>15</v>
      </c>
      <c r="BF53" s="72">
        <f t="shared" si="61"/>
        <v>7</v>
      </c>
      <c r="BG53" s="45"/>
      <c r="BH53" s="56">
        <f t="shared" si="62"/>
        <v>0.43750000000000022</v>
      </c>
      <c r="BI53" s="67">
        <f t="shared" si="63"/>
        <v>39.9</v>
      </c>
      <c r="BJ53" s="68">
        <f t="shared" si="64"/>
        <v>36.9</v>
      </c>
      <c r="BK53" s="68">
        <f t="shared" si="65"/>
        <v>34.5</v>
      </c>
      <c r="BL53" s="68">
        <f t="shared" si="66"/>
        <v>42.7</v>
      </c>
      <c r="BM53" s="68">
        <f t="shared" si="67"/>
        <v>35.299999999999997</v>
      </c>
      <c r="BN53" s="68">
        <f t="shared" si="68"/>
        <v>38.4</v>
      </c>
      <c r="BO53" s="69">
        <f t="shared" si="69"/>
        <v>37.200000000000003</v>
      </c>
      <c r="BP53" s="63"/>
      <c r="BQ53" s="64">
        <f t="shared" si="70"/>
        <v>0.43750000000000022</v>
      </c>
      <c r="BR53" s="67">
        <f t="shared" si="71"/>
        <v>49.4</v>
      </c>
      <c r="BS53" s="68">
        <f t="shared" si="72"/>
        <v>49</v>
      </c>
      <c r="BT53" s="68" t="str">
        <f t="shared" si="73"/>
        <v/>
      </c>
      <c r="BU53" s="68" t="str">
        <f t="shared" si="74"/>
        <v/>
      </c>
      <c r="BV53" s="68">
        <f t="shared" si="75"/>
        <v>50.6</v>
      </c>
      <c r="BW53" s="68">
        <f t="shared" si="76"/>
        <v>46.3</v>
      </c>
      <c r="BX53" s="69" t="str">
        <f t="shared" si="77"/>
        <v/>
      </c>
      <c r="BY53" s="65"/>
      <c r="BZ53" s="66">
        <f t="shared" si="43"/>
        <v>37.842857142857149</v>
      </c>
      <c r="CA53" s="414">
        <f t="shared" si="31"/>
        <v>48.825000000000003</v>
      </c>
      <c r="CB53" s="416">
        <f t="shared" si="48"/>
        <v>60</v>
      </c>
      <c r="CC53" s="65"/>
      <c r="CD53" s="67">
        <f t="shared" si="78"/>
        <v>0</v>
      </c>
      <c r="CE53" s="68">
        <f t="shared" si="79"/>
        <v>0</v>
      </c>
      <c r="CF53" s="68">
        <f t="shared" si="80"/>
        <v>0</v>
      </c>
      <c r="CG53" s="68">
        <f t="shared" si="81"/>
        <v>0</v>
      </c>
      <c r="CH53" s="68">
        <f t="shared" si="82"/>
        <v>0</v>
      </c>
      <c r="CI53" s="68">
        <f t="shared" si="83"/>
        <v>0</v>
      </c>
      <c r="CJ53" s="69">
        <f t="shared" si="84"/>
        <v>0</v>
      </c>
      <c r="CM53" s="67">
        <f t="shared" si="44"/>
        <v>438.9</v>
      </c>
      <c r="CN53" s="68">
        <f t="shared" si="49"/>
        <v>405.9</v>
      </c>
      <c r="CO53" s="68">
        <f t="shared" si="50"/>
        <v>310.5</v>
      </c>
      <c r="CP53" s="68">
        <f t="shared" si="51"/>
        <v>298.90000000000003</v>
      </c>
      <c r="CQ53" s="68">
        <f t="shared" si="52"/>
        <v>423.59999999999997</v>
      </c>
      <c r="CR53" s="68">
        <f t="shared" si="53"/>
        <v>576</v>
      </c>
      <c r="CS53" s="69">
        <f t="shared" si="54"/>
        <v>260.40000000000003</v>
      </c>
      <c r="CU53" s="511">
        <f>SUM(SUMIF($AZ$8:$BF$8, {"NON";"NEUT"}, AZ53:BF53))/config!$AC$16</f>
        <v>9</v>
      </c>
      <c r="CV53" s="512">
        <f t="shared" si="45"/>
        <v>0.43750000000000022</v>
      </c>
      <c r="CY53" s="67">
        <f>SUM(C57*$CY$108, C164*$CY$109, C271*$CY$110, C378*$CY$111, C485*$CY$112, C592*$CY$113, C699*$CY$114)/config!$AC$16</f>
        <v>0</v>
      </c>
      <c r="CZ53" s="68">
        <f>SUM(SUM(D57:E57)*$CY$108, SUM(D164:E164)*$CY$109, SUM(D271:E271)*$CY$110, SUM(D378:E378)*$CY$111, SUM(D485:E485)*$CY$112, SUM(D592:E592)*$CY$113, SUM(D699:E699)*$CY$114)/config!$AC$16</f>
        <v>8.1999999999999993</v>
      </c>
      <c r="DA53" s="68">
        <f>SUM(SUM(F57:G57)*$CY$108, SUM(F164:G164)*$CY$109, SUM(F271:G271)*$CY$110, SUM(F378:G378)*$CY$111, SUM(F485:G485)*$CY$112, SUM(F592:G592)*$CY$113, SUM(F699:G699)*$CY$114)/config!$AC$16</f>
        <v>0.8</v>
      </c>
      <c r="DB53" s="68">
        <f>SUM(H57*$CY$108, H164*$CY$109, H271*$CY$110, H378*$CY$111, H485*$CY$112, H592*$CY$113, H699*$CY$114)/config!$AC$16</f>
        <v>0</v>
      </c>
      <c r="DC53" s="69">
        <f>SUM(SUM(I57:L57)*$CY$108, SUM(I164:L164)*$CY$109, SUM(I271:L271)*$CY$110, SUM(I378:L378)*$CY$111, SUM(I485:L485)*$CY$112, SUM(I592:L592)*$CY$113, SUM(I699:L699)*$CY$114)/config!$AC$16</f>
        <v>0</v>
      </c>
    </row>
    <row r="54" spans="1:107" ht="15" x14ac:dyDescent="0.25">
      <c r="A54" s="440" t="s">
        <v>90</v>
      </c>
      <c r="B54" s="642">
        <v>17</v>
      </c>
      <c r="C54" s="184">
        <v>0</v>
      </c>
      <c r="D54" s="184">
        <v>13</v>
      </c>
      <c r="E54" s="184">
        <v>0</v>
      </c>
      <c r="F54" s="184">
        <v>3</v>
      </c>
      <c r="G54" s="184">
        <v>1</v>
      </c>
      <c r="H54" s="184">
        <v>0</v>
      </c>
      <c r="I54" s="184">
        <v>0</v>
      </c>
      <c r="J54" s="184">
        <v>0</v>
      </c>
      <c r="K54" s="184">
        <v>0</v>
      </c>
      <c r="L54" s="184">
        <v>0</v>
      </c>
      <c r="M54" s="654" t="s">
        <v>24</v>
      </c>
      <c r="N54" s="670" t="s">
        <v>90</v>
      </c>
      <c r="O54" s="642">
        <v>0</v>
      </c>
      <c r="P54" s="184">
        <v>0</v>
      </c>
      <c r="Q54" s="184">
        <v>0</v>
      </c>
      <c r="R54" s="184">
        <v>1</v>
      </c>
      <c r="S54" s="184">
        <v>0</v>
      </c>
      <c r="T54" s="184">
        <v>3</v>
      </c>
      <c r="U54" s="184">
        <v>8</v>
      </c>
      <c r="V54" s="184">
        <v>3</v>
      </c>
      <c r="W54" s="184">
        <v>2</v>
      </c>
      <c r="X54" s="184">
        <v>0</v>
      </c>
      <c r="Y54" s="184">
        <v>0</v>
      </c>
      <c r="Z54" s="184">
        <v>0</v>
      </c>
      <c r="AA54" s="184">
        <v>0</v>
      </c>
      <c r="AB54" s="184">
        <v>0</v>
      </c>
      <c r="AC54" s="185">
        <v>37.9</v>
      </c>
      <c r="AD54" s="185">
        <v>44.6</v>
      </c>
      <c r="AE54" s="184">
        <v>0</v>
      </c>
      <c r="AF54" s="185">
        <v>0</v>
      </c>
      <c r="AG54" s="184">
        <v>0</v>
      </c>
      <c r="AH54" s="185">
        <v>0</v>
      </c>
      <c r="AI54" s="184">
        <v>0</v>
      </c>
      <c r="AJ54" s="643">
        <v>0</v>
      </c>
      <c r="AP54" s="401">
        <f t="shared" si="40"/>
        <v>8</v>
      </c>
      <c r="AR54" s="56">
        <f t="shared" si="41"/>
        <v>0.44791666666666691</v>
      </c>
      <c r="AS54" s="67">
        <f>SUM(C58,C165,C272,C379,C486,C593,C700)/config!$AC$13</f>
        <v>0</v>
      </c>
      <c r="AT54" s="68">
        <f>SUM(D58:E58,D165:E165,D272:E272,D379:E379,D486:E486,D593:E593,D700:E700)/config!$AC$13</f>
        <v>7.1428571428571432</v>
      </c>
      <c r="AU54" s="68">
        <f>SUM(F58:G58,F165:G165,F272:G272,F379:G379,F486:G486,F593:G593,F700:G700)/config!$AC$13</f>
        <v>1.1428571428571428</v>
      </c>
      <c r="AV54" s="68">
        <f>SUM(H58,H165,H272,H379,H486,H593,H700)/config!$AC$13</f>
        <v>0</v>
      </c>
      <c r="AW54" s="69">
        <f>SUM(I58:L58,I165:L165,I272:L272,I379:L379,I486:L486,I593:L593,I700:L700)/config!$AC$13</f>
        <v>0</v>
      </c>
      <c r="AY54" s="56">
        <f t="shared" si="42"/>
        <v>0.44791666666666691</v>
      </c>
      <c r="AZ54" s="70">
        <f t="shared" si="55"/>
        <v>5</v>
      </c>
      <c r="BA54" s="71">
        <f t="shared" si="56"/>
        <v>9</v>
      </c>
      <c r="BB54" s="71">
        <f t="shared" si="57"/>
        <v>6</v>
      </c>
      <c r="BC54" s="71">
        <f t="shared" si="58"/>
        <v>7</v>
      </c>
      <c r="BD54" s="71">
        <f t="shared" si="59"/>
        <v>7</v>
      </c>
      <c r="BE54" s="71">
        <f t="shared" si="60"/>
        <v>14</v>
      </c>
      <c r="BF54" s="72">
        <f t="shared" si="61"/>
        <v>10</v>
      </c>
      <c r="BG54" s="45"/>
      <c r="BH54" s="56">
        <f t="shared" si="62"/>
        <v>0.44791666666666691</v>
      </c>
      <c r="BI54" s="67">
        <f t="shared" si="63"/>
        <v>45</v>
      </c>
      <c r="BJ54" s="68">
        <f t="shared" si="64"/>
        <v>36.299999999999997</v>
      </c>
      <c r="BK54" s="68">
        <f t="shared" si="65"/>
        <v>39.700000000000003</v>
      </c>
      <c r="BL54" s="68">
        <f t="shared" si="66"/>
        <v>44.4</v>
      </c>
      <c r="BM54" s="68">
        <f t="shared" si="67"/>
        <v>33.299999999999997</v>
      </c>
      <c r="BN54" s="68">
        <f t="shared" si="68"/>
        <v>35.700000000000003</v>
      </c>
      <c r="BO54" s="69">
        <f t="shared" si="69"/>
        <v>37.1</v>
      </c>
      <c r="BP54" s="63"/>
      <c r="BQ54" s="64">
        <f t="shared" si="70"/>
        <v>0.44791666666666691</v>
      </c>
      <c r="BR54" s="67" t="str">
        <f t="shared" si="71"/>
        <v/>
      </c>
      <c r="BS54" s="68" t="str">
        <f t="shared" si="72"/>
        <v/>
      </c>
      <c r="BT54" s="68" t="str">
        <f t="shared" si="73"/>
        <v/>
      </c>
      <c r="BU54" s="68" t="str">
        <f t="shared" si="74"/>
        <v/>
      </c>
      <c r="BV54" s="68" t="str">
        <f t="shared" si="75"/>
        <v/>
      </c>
      <c r="BW54" s="68">
        <f t="shared" si="76"/>
        <v>49.9</v>
      </c>
      <c r="BX54" s="69" t="str">
        <f t="shared" si="77"/>
        <v/>
      </c>
      <c r="BY54" s="65"/>
      <c r="BZ54" s="66">
        <f t="shared" si="43"/>
        <v>38.785714285714285</v>
      </c>
      <c r="CA54" s="414">
        <f t="shared" si="31"/>
        <v>49.9</v>
      </c>
      <c r="CB54" s="416">
        <f t="shared" si="48"/>
        <v>60</v>
      </c>
      <c r="CC54" s="65"/>
      <c r="CD54" s="67">
        <f t="shared" si="78"/>
        <v>0</v>
      </c>
      <c r="CE54" s="68">
        <f t="shared" si="79"/>
        <v>0</v>
      </c>
      <c r="CF54" s="68">
        <f t="shared" si="80"/>
        <v>0</v>
      </c>
      <c r="CG54" s="68">
        <f t="shared" si="81"/>
        <v>0</v>
      </c>
      <c r="CH54" s="68">
        <f t="shared" si="82"/>
        <v>0</v>
      </c>
      <c r="CI54" s="68">
        <f t="shared" si="83"/>
        <v>0</v>
      </c>
      <c r="CJ54" s="69">
        <f t="shared" si="84"/>
        <v>0</v>
      </c>
      <c r="CM54" s="67">
        <f t="shared" si="44"/>
        <v>225</v>
      </c>
      <c r="CN54" s="68">
        <f t="shared" si="49"/>
        <v>326.7</v>
      </c>
      <c r="CO54" s="68">
        <f t="shared" si="50"/>
        <v>238.20000000000002</v>
      </c>
      <c r="CP54" s="68">
        <f t="shared" si="51"/>
        <v>310.8</v>
      </c>
      <c r="CQ54" s="68">
        <f t="shared" si="52"/>
        <v>233.09999999999997</v>
      </c>
      <c r="CR54" s="68">
        <f t="shared" si="53"/>
        <v>499.80000000000007</v>
      </c>
      <c r="CS54" s="69">
        <f t="shared" si="54"/>
        <v>371</v>
      </c>
      <c r="CU54" s="511">
        <f>SUM(SUMIF($AZ$8:$BF$8, {"NON";"NEUT"}, AZ54:BF54))/config!$AC$16</f>
        <v>7.4</v>
      </c>
      <c r="CV54" s="512">
        <f t="shared" si="45"/>
        <v>0.44791666666666691</v>
      </c>
      <c r="CY54" s="67">
        <f>SUM(C58*$CY$108, C165*$CY$109, C272*$CY$110, C379*$CY$111, C486*$CY$112, C593*$CY$113, C700*$CY$114)/config!$AC$16</f>
        <v>0</v>
      </c>
      <c r="CZ54" s="68">
        <f>SUM(SUM(D58:E58)*$CY$108, SUM(D165:E165)*$CY$109, SUM(D272:E272)*$CY$110, SUM(D379:E379)*$CY$111, SUM(D486:E486)*$CY$112, SUM(D593:E593)*$CY$113, SUM(D700:E700)*$CY$114)/config!$AC$16</f>
        <v>6</v>
      </c>
      <c r="DA54" s="68">
        <f>SUM(SUM(F58:G58)*$CY$108, SUM(F165:G165)*$CY$109, SUM(F272:G272)*$CY$110, SUM(F379:G379)*$CY$111, SUM(F486:G486)*$CY$112, SUM(F593:G593)*$CY$113, SUM(F700:G700)*$CY$114)/config!$AC$16</f>
        <v>1.4</v>
      </c>
      <c r="DB54" s="68">
        <f>SUM(H58*$CY$108, H165*$CY$109, H272*$CY$110, H379*$CY$111, H486*$CY$112, H593*$CY$113, H700*$CY$114)/config!$AC$16</f>
        <v>0</v>
      </c>
      <c r="DC54" s="69">
        <f>SUM(SUM(I58:L58)*$CY$108, SUM(I165:L165)*$CY$109, SUM(I272:L272)*$CY$110, SUM(I379:L379)*$CY$111, SUM(I486:L486)*$CY$112, SUM(I593:L593)*$CY$113, SUM(I700:L700)*$CY$114)/config!$AC$16</f>
        <v>0</v>
      </c>
    </row>
    <row r="55" spans="1:107" ht="15" x14ac:dyDescent="0.25">
      <c r="A55" s="440" t="s">
        <v>55</v>
      </c>
      <c r="B55" s="642">
        <v>12</v>
      </c>
      <c r="C55" s="184">
        <v>0</v>
      </c>
      <c r="D55" s="184">
        <v>10</v>
      </c>
      <c r="E55" s="184">
        <v>0</v>
      </c>
      <c r="F55" s="184">
        <v>2</v>
      </c>
      <c r="G55" s="184">
        <v>0</v>
      </c>
      <c r="H55" s="184">
        <v>0</v>
      </c>
      <c r="I55" s="184">
        <v>0</v>
      </c>
      <c r="J55" s="184">
        <v>0</v>
      </c>
      <c r="K55" s="184">
        <v>0</v>
      </c>
      <c r="L55" s="184">
        <v>0</v>
      </c>
      <c r="M55" s="654" t="s">
        <v>24</v>
      </c>
      <c r="N55" s="670" t="s">
        <v>55</v>
      </c>
      <c r="O55" s="642">
        <v>0</v>
      </c>
      <c r="P55" s="184">
        <v>0</v>
      </c>
      <c r="Q55" s="184">
        <v>0</v>
      </c>
      <c r="R55" s="184">
        <v>0</v>
      </c>
      <c r="S55" s="184">
        <v>1</v>
      </c>
      <c r="T55" s="184">
        <v>4</v>
      </c>
      <c r="U55" s="184">
        <v>5</v>
      </c>
      <c r="V55" s="184">
        <v>0</v>
      </c>
      <c r="W55" s="184">
        <v>2</v>
      </c>
      <c r="X55" s="184">
        <v>0</v>
      </c>
      <c r="Y55" s="184">
        <v>0</v>
      </c>
      <c r="Z55" s="184">
        <v>0</v>
      </c>
      <c r="AA55" s="184">
        <v>0</v>
      </c>
      <c r="AB55" s="184">
        <v>0</v>
      </c>
      <c r="AC55" s="185">
        <v>37.200000000000003</v>
      </c>
      <c r="AD55" s="185">
        <v>46.8</v>
      </c>
      <c r="AE55" s="184">
        <v>0</v>
      </c>
      <c r="AF55" s="185">
        <v>0</v>
      </c>
      <c r="AG55" s="184">
        <v>0</v>
      </c>
      <c r="AH55" s="185">
        <v>0</v>
      </c>
      <c r="AI55" s="184">
        <v>0</v>
      </c>
      <c r="AJ55" s="643">
        <v>0</v>
      </c>
      <c r="AP55" s="401">
        <f t="shared" si="40"/>
        <v>5</v>
      </c>
      <c r="AR55" s="56">
        <f t="shared" si="41"/>
        <v>0.45833333333333359</v>
      </c>
      <c r="AS55" s="67">
        <f>SUM(C59,C166,C273,C380,C487,C594,C701)/config!$AC$13</f>
        <v>0.2857142857142857</v>
      </c>
      <c r="AT55" s="68">
        <f>SUM(D59:E59,D166:E166,D273:E273,D380:E380,D487:E487,D594:E594,D701:E701)/config!$AC$13</f>
        <v>9</v>
      </c>
      <c r="AU55" s="68">
        <f>SUM(F59:G59,F166:G166,F273:G273,F380:G380,F487:G487,F594:G594,F701:G701)/config!$AC$13</f>
        <v>0.7142857142857143</v>
      </c>
      <c r="AV55" s="68">
        <f>SUM(H59,H166,H273,H380,H487,H594,H701)/config!$AC$13</f>
        <v>0</v>
      </c>
      <c r="AW55" s="69">
        <f>SUM(I59:L59,I166:L166,I273:L273,I380:L380,I487:L487,I594:L594,I701:L701)/config!$AC$13</f>
        <v>0</v>
      </c>
      <c r="AY55" s="56">
        <f t="shared" si="42"/>
        <v>0.45833333333333359</v>
      </c>
      <c r="AZ55" s="70">
        <f t="shared" si="55"/>
        <v>6</v>
      </c>
      <c r="BA55" s="71">
        <f t="shared" si="56"/>
        <v>12</v>
      </c>
      <c r="BB55" s="71">
        <f t="shared" si="57"/>
        <v>9</v>
      </c>
      <c r="BC55" s="71">
        <f t="shared" si="58"/>
        <v>11</v>
      </c>
      <c r="BD55" s="71">
        <f t="shared" si="59"/>
        <v>10</v>
      </c>
      <c r="BE55" s="71">
        <f t="shared" si="60"/>
        <v>11</v>
      </c>
      <c r="BF55" s="72">
        <f t="shared" si="61"/>
        <v>11</v>
      </c>
      <c r="BG55" s="45"/>
      <c r="BH55" s="56">
        <f t="shared" si="62"/>
        <v>0.45833333333333359</v>
      </c>
      <c r="BI55" s="67">
        <f t="shared" si="63"/>
        <v>33.9</v>
      </c>
      <c r="BJ55" s="68">
        <f t="shared" si="64"/>
        <v>39.700000000000003</v>
      </c>
      <c r="BK55" s="68">
        <f t="shared" si="65"/>
        <v>35.299999999999997</v>
      </c>
      <c r="BL55" s="68">
        <f t="shared" si="66"/>
        <v>36.1</v>
      </c>
      <c r="BM55" s="68">
        <f t="shared" si="67"/>
        <v>40.799999999999997</v>
      </c>
      <c r="BN55" s="68">
        <f t="shared" si="68"/>
        <v>36.9</v>
      </c>
      <c r="BO55" s="69">
        <f t="shared" si="69"/>
        <v>40.6</v>
      </c>
      <c r="BP55" s="63"/>
      <c r="BQ55" s="64">
        <f t="shared" si="70"/>
        <v>0.45833333333333359</v>
      </c>
      <c r="BR55" s="67" t="str">
        <f t="shared" si="71"/>
        <v/>
      </c>
      <c r="BS55" s="68">
        <f t="shared" si="72"/>
        <v>46.3</v>
      </c>
      <c r="BT55" s="68" t="str">
        <f t="shared" si="73"/>
        <v/>
      </c>
      <c r="BU55" s="68">
        <f t="shared" si="74"/>
        <v>47.5</v>
      </c>
      <c r="BV55" s="68" t="str">
        <f t="shared" si="75"/>
        <v/>
      </c>
      <c r="BW55" s="68">
        <f t="shared" si="76"/>
        <v>41.9</v>
      </c>
      <c r="BX55" s="69">
        <f t="shared" si="77"/>
        <v>52.8</v>
      </c>
      <c r="BY55" s="65"/>
      <c r="BZ55" s="66">
        <f t="shared" si="43"/>
        <v>37.614285714285714</v>
      </c>
      <c r="CA55" s="414">
        <f t="shared" si="31"/>
        <v>47.125</v>
      </c>
      <c r="CB55" s="416">
        <f t="shared" si="48"/>
        <v>60</v>
      </c>
      <c r="CC55" s="65"/>
      <c r="CD55" s="67">
        <f t="shared" si="78"/>
        <v>0</v>
      </c>
      <c r="CE55" s="68">
        <f t="shared" si="79"/>
        <v>0</v>
      </c>
      <c r="CF55" s="68">
        <f t="shared" si="80"/>
        <v>0</v>
      </c>
      <c r="CG55" s="68">
        <f t="shared" si="81"/>
        <v>0</v>
      </c>
      <c r="CH55" s="68">
        <f t="shared" si="82"/>
        <v>0</v>
      </c>
      <c r="CI55" s="68">
        <f t="shared" si="83"/>
        <v>0</v>
      </c>
      <c r="CJ55" s="69">
        <f t="shared" si="84"/>
        <v>0</v>
      </c>
      <c r="CM55" s="67">
        <f t="shared" si="44"/>
        <v>203.39999999999998</v>
      </c>
      <c r="CN55" s="68">
        <f t="shared" si="49"/>
        <v>476.40000000000003</v>
      </c>
      <c r="CO55" s="68">
        <f t="shared" si="50"/>
        <v>317.7</v>
      </c>
      <c r="CP55" s="68">
        <f t="shared" si="51"/>
        <v>397.1</v>
      </c>
      <c r="CQ55" s="68">
        <f t="shared" si="52"/>
        <v>408</v>
      </c>
      <c r="CR55" s="68">
        <f t="shared" si="53"/>
        <v>405.9</v>
      </c>
      <c r="CS55" s="69">
        <f t="shared" si="54"/>
        <v>446.6</v>
      </c>
      <c r="CU55" s="511">
        <f>SUM(SUMIF($AZ$8:$BF$8, {"NON";"NEUT"}, AZ55:BF55))/config!$AC$16</f>
        <v>9.8000000000000007</v>
      </c>
      <c r="CV55" s="512">
        <f t="shared" si="45"/>
        <v>0.45833333333333359</v>
      </c>
      <c r="CY55" s="67">
        <f>SUM(C59*$CY$108, C166*$CY$109, C273*$CY$110, C380*$CY$111, C487*$CY$112, C594*$CY$113, C701*$CY$114)/config!$AC$16</f>
        <v>0.4</v>
      </c>
      <c r="CZ55" s="68">
        <f>SUM(SUM(D59:E59)*$CY$108, SUM(D166:E166)*$CY$109, SUM(D273:E273)*$CY$110, SUM(D380:E380)*$CY$111, SUM(D487:E487)*$CY$112, SUM(D594:E594)*$CY$113, SUM(D701:E701)*$CY$114)/config!$AC$16</f>
        <v>8.4</v>
      </c>
      <c r="DA55" s="68">
        <f>SUM(SUM(F59:G59)*$CY$108, SUM(F166:G166)*$CY$109, SUM(F273:G273)*$CY$110, SUM(F380:G380)*$CY$111, SUM(F487:G487)*$CY$112, SUM(F594:G594)*$CY$113, SUM(F701:G701)*$CY$114)/config!$AC$16</f>
        <v>1</v>
      </c>
      <c r="DB55" s="68">
        <f>SUM(H59*$CY$108, H166*$CY$109, H273*$CY$110, H380*$CY$111, H487*$CY$112, H594*$CY$113, H701*$CY$114)/config!$AC$16</f>
        <v>0</v>
      </c>
      <c r="DC55" s="69">
        <f>SUM(SUM(I59:L59)*$CY$108, SUM(I166:L166)*$CY$109, SUM(I273:L273)*$CY$110, SUM(I380:L380)*$CY$111, SUM(I487:L487)*$CY$112, SUM(I594:L594)*$CY$113, SUM(I701:L701)*$CY$114)/config!$AC$16</f>
        <v>0</v>
      </c>
    </row>
    <row r="56" spans="1:107" ht="15" x14ac:dyDescent="0.25">
      <c r="A56" s="440" t="s">
        <v>91</v>
      </c>
      <c r="B56" s="642">
        <v>9</v>
      </c>
      <c r="C56" s="184">
        <v>0</v>
      </c>
      <c r="D56" s="184">
        <v>8</v>
      </c>
      <c r="E56" s="184">
        <v>0</v>
      </c>
      <c r="F56" s="184">
        <v>1</v>
      </c>
      <c r="G56" s="184">
        <v>0</v>
      </c>
      <c r="H56" s="184">
        <v>0</v>
      </c>
      <c r="I56" s="184">
        <v>0</v>
      </c>
      <c r="J56" s="184">
        <v>0</v>
      </c>
      <c r="K56" s="184">
        <v>0</v>
      </c>
      <c r="L56" s="184">
        <v>0</v>
      </c>
      <c r="M56" s="654" t="s">
        <v>24</v>
      </c>
      <c r="N56" s="670" t="s">
        <v>91</v>
      </c>
      <c r="O56" s="642">
        <v>0</v>
      </c>
      <c r="P56" s="184">
        <v>0</v>
      </c>
      <c r="Q56" s="184">
        <v>0</v>
      </c>
      <c r="R56" s="184">
        <v>1</v>
      </c>
      <c r="S56" s="184">
        <v>1</v>
      </c>
      <c r="T56" s="184">
        <v>1</v>
      </c>
      <c r="U56" s="184">
        <v>0</v>
      </c>
      <c r="V56" s="184">
        <v>4</v>
      </c>
      <c r="W56" s="184">
        <v>1</v>
      </c>
      <c r="X56" s="184">
        <v>1</v>
      </c>
      <c r="Y56" s="184">
        <v>0</v>
      </c>
      <c r="Z56" s="184">
        <v>0</v>
      </c>
      <c r="AA56" s="184">
        <v>0</v>
      </c>
      <c r="AB56" s="184">
        <v>0</v>
      </c>
      <c r="AC56" s="185">
        <v>38.700000000000003</v>
      </c>
      <c r="AD56" s="185" t="s">
        <v>24</v>
      </c>
      <c r="AE56" s="184">
        <v>0</v>
      </c>
      <c r="AF56" s="185">
        <v>0</v>
      </c>
      <c r="AG56" s="184">
        <v>0</v>
      </c>
      <c r="AH56" s="185">
        <v>0</v>
      </c>
      <c r="AI56" s="184">
        <v>0</v>
      </c>
      <c r="AJ56" s="643">
        <v>0</v>
      </c>
      <c r="AP56" s="401">
        <f t="shared" si="40"/>
        <v>4</v>
      </c>
      <c r="AR56" s="56">
        <f t="shared" si="41"/>
        <v>0.46875000000000028</v>
      </c>
      <c r="AS56" s="67">
        <f>SUM(C60,C167,C274,C381,C488,C595,C702)/config!$AC$13</f>
        <v>0.2857142857142857</v>
      </c>
      <c r="AT56" s="68">
        <f>SUM(D60:E60,D167:E167,D274:E274,D381:E381,D488:E488,D595:E595,D702:E702)/config!$AC$13</f>
        <v>9.1428571428571423</v>
      </c>
      <c r="AU56" s="68">
        <f>SUM(F60:G60,F167:G167,F274:G274,F381:G381,F488:G488,F595:G595,F702:G702)/config!$AC$13</f>
        <v>0.5714285714285714</v>
      </c>
      <c r="AV56" s="68">
        <f>SUM(H60,H167,H274,H381,H488,H595,H702)/config!$AC$13</f>
        <v>0</v>
      </c>
      <c r="AW56" s="69">
        <f>SUM(I60:L60,I167:L167,I274:L274,I381:L381,I488:L488,I595:L595,I702:L702)/config!$AC$13</f>
        <v>0</v>
      </c>
      <c r="AY56" s="56">
        <f t="shared" si="42"/>
        <v>0.46875000000000028</v>
      </c>
      <c r="AZ56" s="70">
        <f t="shared" si="55"/>
        <v>10</v>
      </c>
      <c r="BA56" s="71">
        <f t="shared" si="56"/>
        <v>5</v>
      </c>
      <c r="BB56" s="71">
        <f t="shared" si="57"/>
        <v>14</v>
      </c>
      <c r="BC56" s="71">
        <f t="shared" si="58"/>
        <v>9</v>
      </c>
      <c r="BD56" s="71">
        <f t="shared" si="59"/>
        <v>12</v>
      </c>
      <c r="BE56" s="71">
        <f t="shared" si="60"/>
        <v>8</v>
      </c>
      <c r="BF56" s="72">
        <f t="shared" si="61"/>
        <v>12</v>
      </c>
      <c r="BG56" s="45"/>
      <c r="BH56" s="56">
        <f t="shared" si="62"/>
        <v>0.46875000000000028</v>
      </c>
      <c r="BI56" s="67">
        <f t="shared" si="63"/>
        <v>36.5</v>
      </c>
      <c r="BJ56" s="68">
        <f t="shared" si="64"/>
        <v>39.299999999999997</v>
      </c>
      <c r="BK56" s="68">
        <f t="shared" si="65"/>
        <v>39.299999999999997</v>
      </c>
      <c r="BL56" s="68">
        <f t="shared" si="66"/>
        <v>36.9</v>
      </c>
      <c r="BM56" s="68">
        <f t="shared" si="67"/>
        <v>43.6</v>
      </c>
      <c r="BN56" s="68">
        <f t="shared" si="68"/>
        <v>37.700000000000003</v>
      </c>
      <c r="BO56" s="69">
        <f t="shared" si="69"/>
        <v>32.6</v>
      </c>
      <c r="BP56" s="63"/>
      <c r="BQ56" s="64">
        <f t="shared" si="70"/>
        <v>0.46875000000000028</v>
      </c>
      <c r="BR56" s="67" t="str">
        <f t="shared" si="71"/>
        <v/>
      </c>
      <c r="BS56" s="68" t="str">
        <f t="shared" si="72"/>
        <v/>
      </c>
      <c r="BT56" s="68">
        <f t="shared" si="73"/>
        <v>45.1</v>
      </c>
      <c r="BU56" s="68" t="str">
        <f t="shared" si="74"/>
        <v/>
      </c>
      <c r="BV56" s="68">
        <f t="shared" si="75"/>
        <v>49.4</v>
      </c>
      <c r="BW56" s="68" t="str">
        <f t="shared" si="76"/>
        <v/>
      </c>
      <c r="BX56" s="69">
        <f t="shared" si="77"/>
        <v>44.1</v>
      </c>
      <c r="BY56" s="65"/>
      <c r="BZ56" s="66">
        <f t="shared" si="43"/>
        <v>37.985714285714288</v>
      </c>
      <c r="CA56" s="414">
        <f t="shared" si="31"/>
        <v>46.199999999999996</v>
      </c>
      <c r="CB56" s="416">
        <f t="shared" si="48"/>
        <v>60</v>
      </c>
      <c r="CC56" s="65"/>
      <c r="CD56" s="67">
        <f t="shared" si="78"/>
        <v>0</v>
      </c>
      <c r="CE56" s="68">
        <f t="shared" si="79"/>
        <v>0</v>
      </c>
      <c r="CF56" s="68">
        <f t="shared" si="80"/>
        <v>0</v>
      </c>
      <c r="CG56" s="68">
        <f t="shared" si="81"/>
        <v>0</v>
      </c>
      <c r="CH56" s="68">
        <f t="shared" si="82"/>
        <v>1</v>
      </c>
      <c r="CI56" s="68">
        <f t="shared" si="83"/>
        <v>0</v>
      </c>
      <c r="CJ56" s="69">
        <f t="shared" si="84"/>
        <v>0</v>
      </c>
      <c r="CM56" s="67">
        <f t="shared" si="44"/>
        <v>365</v>
      </c>
      <c r="CN56" s="68">
        <f t="shared" si="49"/>
        <v>196.5</v>
      </c>
      <c r="CO56" s="68">
        <f t="shared" si="50"/>
        <v>550.19999999999993</v>
      </c>
      <c r="CP56" s="68">
        <f t="shared" si="51"/>
        <v>332.09999999999997</v>
      </c>
      <c r="CQ56" s="68">
        <f t="shared" si="52"/>
        <v>523.20000000000005</v>
      </c>
      <c r="CR56" s="68">
        <f t="shared" si="53"/>
        <v>301.60000000000002</v>
      </c>
      <c r="CS56" s="69">
        <f t="shared" si="54"/>
        <v>391.20000000000005</v>
      </c>
      <c r="CU56" s="511">
        <f>SUM(SUMIF($AZ$8:$BF$8, {"NON";"NEUT"}, AZ56:BF56))/config!$AC$16</f>
        <v>10</v>
      </c>
      <c r="CV56" s="512">
        <f t="shared" si="45"/>
        <v>0.46875000000000028</v>
      </c>
      <c r="CY56" s="67">
        <f>SUM(C60*$CY$108, C167*$CY$109, C274*$CY$110, C381*$CY$111, C488*$CY$112, C595*$CY$113, C702*$CY$114)/config!$AC$16</f>
        <v>0.4</v>
      </c>
      <c r="CZ56" s="68">
        <f>SUM(SUM(D60:E60)*$CY$108, SUM(D167:E167)*$CY$109, SUM(D274:E274)*$CY$110, SUM(D381:E381)*$CY$111, SUM(D488:E488)*$CY$112, SUM(D595:E595)*$CY$113, SUM(D702:E702)*$CY$114)/config!$AC$16</f>
        <v>8.8000000000000007</v>
      </c>
      <c r="DA56" s="68">
        <f>SUM(SUM(F60:G60)*$CY$108, SUM(F167:G167)*$CY$109, SUM(F274:G274)*$CY$110, SUM(F381:G381)*$CY$111, SUM(F488:G488)*$CY$112, SUM(F595:G595)*$CY$113, SUM(F702:G702)*$CY$114)/config!$AC$16</f>
        <v>0.8</v>
      </c>
      <c r="DB56" s="68">
        <f>SUM(H60*$CY$108, H167*$CY$109, H274*$CY$110, H381*$CY$111, H488*$CY$112, H595*$CY$113, H702*$CY$114)/config!$AC$16</f>
        <v>0</v>
      </c>
      <c r="DC56" s="69">
        <f>SUM(SUM(I60:L60)*$CY$108, SUM(I167:L167)*$CY$109, SUM(I274:L274)*$CY$110, SUM(I381:L381)*$CY$111, SUM(I488:L488)*$CY$112, SUM(I595:L595)*$CY$113, SUM(I702:L702)*$CY$114)/config!$AC$16</f>
        <v>0</v>
      </c>
    </row>
    <row r="57" spans="1:107" ht="15" x14ac:dyDescent="0.25">
      <c r="A57" s="440" t="s">
        <v>92</v>
      </c>
      <c r="B57" s="642">
        <v>11</v>
      </c>
      <c r="C57" s="184">
        <v>0</v>
      </c>
      <c r="D57" s="184">
        <v>9</v>
      </c>
      <c r="E57" s="184">
        <v>1</v>
      </c>
      <c r="F57" s="184">
        <v>1</v>
      </c>
      <c r="G57" s="184">
        <v>0</v>
      </c>
      <c r="H57" s="184">
        <v>0</v>
      </c>
      <c r="I57" s="184">
        <v>0</v>
      </c>
      <c r="J57" s="184">
        <v>0</v>
      </c>
      <c r="K57" s="184">
        <v>0</v>
      </c>
      <c r="L57" s="184">
        <v>0</v>
      </c>
      <c r="M57" s="654" t="s">
        <v>24</v>
      </c>
      <c r="N57" s="670" t="s">
        <v>92</v>
      </c>
      <c r="O57" s="642">
        <v>0</v>
      </c>
      <c r="P57" s="184">
        <v>0</v>
      </c>
      <c r="Q57" s="184">
        <v>0</v>
      </c>
      <c r="R57" s="184">
        <v>0</v>
      </c>
      <c r="S57" s="184">
        <v>0</v>
      </c>
      <c r="T57" s="184">
        <v>3</v>
      </c>
      <c r="U57" s="184">
        <v>3</v>
      </c>
      <c r="V57" s="184">
        <v>3</v>
      </c>
      <c r="W57" s="184">
        <v>1</v>
      </c>
      <c r="X57" s="184">
        <v>1</v>
      </c>
      <c r="Y57" s="184">
        <v>0</v>
      </c>
      <c r="Z57" s="184">
        <v>0</v>
      </c>
      <c r="AA57" s="184">
        <v>0</v>
      </c>
      <c r="AB57" s="184">
        <v>0</v>
      </c>
      <c r="AC57" s="185">
        <v>39.9</v>
      </c>
      <c r="AD57" s="185">
        <v>49.4</v>
      </c>
      <c r="AE57" s="184">
        <v>0</v>
      </c>
      <c r="AF57" s="185">
        <v>0</v>
      </c>
      <c r="AG57" s="184">
        <v>0</v>
      </c>
      <c r="AH57" s="185">
        <v>0</v>
      </c>
      <c r="AI57" s="184">
        <v>0</v>
      </c>
      <c r="AJ57" s="643">
        <v>0</v>
      </c>
      <c r="AP57" s="401">
        <f t="shared" si="40"/>
        <v>4</v>
      </c>
      <c r="AR57" s="56">
        <f t="shared" si="41"/>
        <v>0.47916666666666696</v>
      </c>
      <c r="AS57" s="67">
        <f>SUM(C61,C168,C275,C382,C489,C596,C703)/config!$AC$13</f>
        <v>0.2857142857142857</v>
      </c>
      <c r="AT57" s="68">
        <f>SUM(D61:E61,D168:E168,D275:E275,D382:E382,D489:E489,D596:E596,D703:E703)/config!$AC$13</f>
        <v>9</v>
      </c>
      <c r="AU57" s="68">
        <f>SUM(F61:G61,F168:G168,F275:G275,F382:G382,F489:G489,F596:G596,F703:G703)/config!$AC$13</f>
        <v>0.5714285714285714</v>
      </c>
      <c r="AV57" s="68">
        <f>SUM(H61,H168,H275,H382,H489,H596,H703)/config!$AC$13</f>
        <v>0</v>
      </c>
      <c r="AW57" s="69">
        <f>SUM(I61:L61,I168:L168,I275:L275,I382:L382,I489:L489,I596:L596,I703:L703)/config!$AC$13</f>
        <v>0</v>
      </c>
      <c r="AY57" s="56">
        <f t="shared" si="42"/>
        <v>0.47916666666666696</v>
      </c>
      <c r="AZ57" s="70">
        <f t="shared" si="55"/>
        <v>14</v>
      </c>
      <c r="BA57" s="71">
        <f t="shared" si="56"/>
        <v>8</v>
      </c>
      <c r="BB57" s="71">
        <f t="shared" si="57"/>
        <v>11</v>
      </c>
      <c r="BC57" s="71">
        <f t="shared" si="58"/>
        <v>8</v>
      </c>
      <c r="BD57" s="71">
        <f t="shared" si="59"/>
        <v>6</v>
      </c>
      <c r="BE57" s="71">
        <f t="shared" si="60"/>
        <v>10</v>
      </c>
      <c r="BF57" s="72">
        <f t="shared" si="61"/>
        <v>12</v>
      </c>
      <c r="BG57" s="45"/>
      <c r="BH57" s="56">
        <f t="shared" si="62"/>
        <v>0.47916666666666696</v>
      </c>
      <c r="BI57" s="67">
        <f t="shared" si="63"/>
        <v>42.5</v>
      </c>
      <c r="BJ57" s="68">
        <f t="shared" si="64"/>
        <v>28.3</v>
      </c>
      <c r="BK57" s="68">
        <f t="shared" si="65"/>
        <v>40.9</v>
      </c>
      <c r="BL57" s="68">
        <f t="shared" si="66"/>
        <v>38.1</v>
      </c>
      <c r="BM57" s="68">
        <f t="shared" si="67"/>
        <v>34.799999999999997</v>
      </c>
      <c r="BN57" s="68">
        <f t="shared" si="68"/>
        <v>39.5</v>
      </c>
      <c r="BO57" s="69">
        <f t="shared" si="69"/>
        <v>37.1</v>
      </c>
      <c r="BP57" s="63"/>
      <c r="BQ57" s="64">
        <f t="shared" si="70"/>
        <v>0.47916666666666696</v>
      </c>
      <c r="BR57" s="67">
        <f t="shared" si="71"/>
        <v>53.5</v>
      </c>
      <c r="BS57" s="68" t="str">
        <f t="shared" si="72"/>
        <v/>
      </c>
      <c r="BT57" s="68">
        <f t="shared" si="73"/>
        <v>47.9</v>
      </c>
      <c r="BU57" s="68" t="str">
        <f t="shared" si="74"/>
        <v/>
      </c>
      <c r="BV57" s="68" t="str">
        <f t="shared" si="75"/>
        <v/>
      </c>
      <c r="BW57" s="68" t="str">
        <f t="shared" si="76"/>
        <v/>
      </c>
      <c r="BX57" s="69">
        <f t="shared" si="77"/>
        <v>47.3</v>
      </c>
      <c r="BY57" s="65"/>
      <c r="BZ57" s="66">
        <f t="shared" si="43"/>
        <v>37.31428571428571</v>
      </c>
      <c r="CA57" s="414">
        <f t="shared" si="31"/>
        <v>49.566666666666663</v>
      </c>
      <c r="CB57" s="416">
        <f t="shared" si="48"/>
        <v>60</v>
      </c>
      <c r="CC57" s="65"/>
      <c r="CD57" s="67">
        <f t="shared" si="78"/>
        <v>0</v>
      </c>
      <c r="CE57" s="68">
        <f t="shared" si="79"/>
        <v>0</v>
      </c>
      <c r="CF57" s="68">
        <f t="shared" si="80"/>
        <v>0</v>
      </c>
      <c r="CG57" s="68">
        <f t="shared" si="81"/>
        <v>0</v>
      </c>
      <c r="CH57" s="68">
        <f t="shared" si="82"/>
        <v>0</v>
      </c>
      <c r="CI57" s="68">
        <f t="shared" si="83"/>
        <v>0</v>
      </c>
      <c r="CJ57" s="69">
        <f t="shared" si="84"/>
        <v>0</v>
      </c>
      <c r="CM57" s="67">
        <f t="shared" si="44"/>
        <v>595</v>
      </c>
      <c r="CN57" s="68">
        <f t="shared" si="49"/>
        <v>226.4</v>
      </c>
      <c r="CO57" s="68">
        <f t="shared" si="50"/>
        <v>449.9</v>
      </c>
      <c r="CP57" s="68">
        <f t="shared" si="51"/>
        <v>304.8</v>
      </c>
      <c r="CQ57" s="68">
        <f t="shared" si="52"/>
        <v>208.79999999999998</v>
      </c>
      <c r="CR57" s="68">
        <f t="shared" si="53"/>
        <v>395</v>
      </c>
      <c r="CS57" s="69">
        <f t="shared" si="54"/>
        <v>445.20000000000005</v>
      </c>
      <c r="CU57" s="511">
        <f>SUM(SUMIF($AZ$8:$BF$8, {"NON";"NEUT"}, AZ57:BF57))/config!$AC$16</f>
        <v>10.6</v>
      </c>
      <c r="CV57" s="512">
        <f t="shared" si="45"/>
        <v>0.47916666666666696</v>
      </c>
      <c r="CY57" s="67">
        <f>SUM(C61*$CY$108, C168*$CY$109, C275*$CY$110, C382*$CY$111, C489*$CY$112, C596*$CY$113, C703*$CY$114)/config!$AC$16</f>
        <v>0.2</v>
      </c>
      <c r="CZ57" s="68">
        <f>SUM(SUM(D61:E61)*$CY$108, SUM(D168:E168)*$CY$109, SUM(D275:E275)*$CY$110, SUM(D382:E382)*$CY$111, SUM(D489:E489)*$CY$112, SUM(D596:E596)*$CY$113, SUM(D703:E703)*$CY$114)/config!$AC$16</f>
        <v>9.6</v>
      </c>
      <c r="DA57" s="68">
        <f>SUM(SUM(F61:G61)*$CY$108, SUM(F168:G168)*$CY$109, SUM(F275:G275)*$CY$110, SUM(F382:G382)*$CY$111, SUM(F489:G489)*$CY$112, SUM(F596:G596)*$CY$113, SUM(F703:G703)*$CY$114)/config!$AC$16</f>
        <v>0.8</v>
      </c>
      <c r="DB57" s="68">
        <f>SUM(H61*$CY$108, H168*$CY$109, H275*$CY$110, H382*$CY$111, H489*$CY$112, H596*$CY$113, H703*$CY$114)/config!$AC$16</f>
        <v>0</v>
      </c>
      <c r="DC57" s="69">
        <f>SUM(SUM(I61:L61)*$CY$108, SUM(I168:L168)*$CY$109, SUM(I275:L275)*$CY$110, SUM(I382:L382)*$CY$111, SUM(I489:L489)*$CY$112, SUM(I596:L596)*$CY$113, SUM(I703:L703)*$CY$114)/config!$AC$16</f>
        <v>0</v>
      </c>
    </row>
    <row r="58" spans="1:107" ht="15" x14ac:dyDescent="0.25">
      <c r="A58" s="440" t="s">
        <v>93</v>
      </c>
      <c r="B58" s="642">
        <v>5</v>
      </c>
      <c r="C58" s="184">
        <v>0</v>
      </c>
      <c r="D58" s="184">
        <v>5</v>
      </c>
      <c r="E58" s="184">
        <v>0</v>
      </c>
      <c r="F58" s="184">
        <v>0</v>
      </c>
      <c r="G58" s="184">
        <v>0</v>
      </c>
      <c r="H58" s="184">
        <v>0</v>
      </c>
      <c r="I58" s="184">
        <v>0</v>
      </c>
      <c r="J58" s="184">
        <v>0</v>
      </c>
      <c r="K58" s="184">
        <v>0</v>
      </c>
      <c r="L58" s="184">
        <v>0</v>
      </c>
      <c r="M58" s="654" t="s">
        <v>24</v>
      </c>
      <c r="N58" s="670" t="s">
        <v>93</v>
      </c>
      <c r="O58" s="642">
        <v>0</v>
      </c>
      <c r="P58" s="184">
        <v>0</v>
      </c>
      <c r="Q58" s="184">
        <v>0</v>
      </c>
      <c r="R58" s="184">
        <v>0</v>
      </c>
      <c r="S58" s="184">
        <v>0</v>
      </c>
      <c r="T58" s="184">
        <v>0</v>
      </c>
      <c r="U58" s="184">
        <v>0</v>
      </c>
      <c r="V58" s="184">
        <v>2</v>
      </c>
      <c r="W58" s="184">
        <v>3</v>
      </c>
      <c r="X58" s="184">
        <v>0</v>
      </c>
      <c r="Y58" s="184">
        <v>0</v>
      </c>
      <c r="Z58" s="184">
        <v>0</v>
      </c>
      <c r="AA58" s="184">
        <v>0</v>
      </c>
      <c r="AB58" s="184">
        <v>0</v>
      </c>
      <c r="AC58" s="185">
        <v>45</v>
      </c>
      <c r="AD58" s="185" t="s">
        <v>24</v>
      </c>
      <c r="AE58" s="184">
        <v>0</v>
      </c>
      <c r="AF58" s="185">
        <v>0</v>
      </c>
      <c r="AG58" s="184">
        <v>0</v>
      </c>
      <c r="AH58" s="185">
        <v>0</v>
      </c>
      <c r="AI58" s="184">
        <v>0</v>
      </c>
      <c r="AJ58" s="643">
        <v>0</v>
      </c>
      <c r="AP58" s="401">
        <f t="shared" si="40"/>
        <v>11</v>
      </c>
      <c r="AR58" s="56">
        <f t="shared" si="41"/>
        <v>0.48958333333333365</v>
      </c>
      <c r="AS58" s="67">
        <f>SUM(C62,C169,C276,C383,C490,C597,C704)/config!$AC$13</f>
        <v>0.42857142857142855</v>
      </c>
      <c r="AT58" s="68">
        <f>SUM(D62:E62,D169:E169,D276:E276,D383:E383,D490:E490,D597:E597,D704:E704)/config!$AC$13</f>
        <v>7.1428571428571432</v>
      </c>
      <c r="AU58" s="68">
        <f>SUM(F62:G62,F169:G169,F276:G276,F383:G383,F490:G490,F597:G597,F704:G704)/config!$AC$13</f>
        <v>1.7142857142857142</v>
      </c>
      <c r="AV58" s="68">
        <f>SUM(H62,H169,H276,H383,H490,H597,H704)/config!$AC$13</f>
        <v>0</v>
      </c>
      <c r="AW58" s="69">
        <f>SUM(I62:L62,I169:L169,I276:L276,I383:L383,I490:L490,I597:L597,I704:L704)/config!$AC$13</f>
        <v>0</v>
      </c>
      <c r="AY58" s="56">
        <f t="shared" si="42"/>
        <v>0.48958333333333365</v>
      </c>
      <c r="AZ58" s="70">
        <f t="shared" si="55"/>
        <v>12</v>
      </c>
      <c r="BA58" s="71">
        <f t="shared" si="56"/>
        <v>8</v>
      </c>
      <c r="BB58" s="71">
        <f t="shared" si="57"/>
        <v>6</v>
      </c>
      <c r="BC58" s="71">
        <f t="shared" si="58"/>
        <v>16</v>
      </c>
      <c r="BD58" s="71">
        <f t="shared" si="59"/>
        <v>9</v>
      </c>
      <c r="BE58" s="71">
        <f t="shared" si="60"/>
        <v>8</v>
      </c>
      <c r="BF58" s="72">
        <f t="shared" si="61"/>
        <v>6</v>
      </c>
      <c r="BG58" s="45"/>
      <c r="BH58" s="56">
        <f t="shared" si="62"/>
        <v>0.48958333333333365</v>
      </c>
      <c r="BI58" s="67">
        <f t="shared" si="63"/>
        <v>37.6</v>
      </c>
      <c r="BJ58" s="68">
        <f t="shared" si="64"/>
        <v>41.3</v>
      </c>
      <c r="BK58" s="68">
        <f t="shared" si="65"/>
        <v>40.200000000000003</v>
      </c>
      <c r="BL58" s="68">
        <f t="shared" si="66"/>
        <v>38.299999999999997</v>
      </c>
      <c r="BM58" s="68">
        <f t="shared" si="67"/>
        <v>34</v>
      </c>
      <c r="BN58" s="68">
        <f t="shared" si="68"/>
        <v>40.5</v>
      </c>
      <c r="BO58" s="69">
        <f t="shared" si="69"/>
        <v>33.6</v>
      </c>
      <c r="BP58" s="63"/>
      <c r="BQ58" s="64">
        <f t="shared" si="70"/>
        <v>0.48958333333333365</v>
      </c>
      <c r="BR58" s="67">
        <f t="shared" si="71"/>
        <v>43.7</v>
      </c>
      <c r="BS58" s="68" t="str">
        <f t="shared" si="72"/>
        <v/>
      </c>
      <c r="BT58" s="68" t="str">
        <f t="shared" si="73"/>
        <v/>
      </c>
      <c r="BU58" s="68">
        <f t="shared" si="74"/>
        <v>47</v>
      </c>
      <c r="BV58" s="68" t="str">
        <f t="shared" si="75"/>
        <v/>
      </c>
      <c r="BW58" s="68" t="str">
        <f t="shared" si="76"/>
        <v/>
      </c>
      <c r="BX58" s="69" t="str">
        <f t="shared" si="77"/>
        <v/>
      </c>
      <c r="BY58" s="65"/>
      <c r="BZ58" s="66">
        <f t="shared" si="43"/>
        <v>37.928571428571431</v>
      </c>
      <c r="CA58" s="414">
        <f t="shared" si="31"/>
        <v>45.35</v>
      </c>
      <c r="CB58" s="416">
        <f t="shared" si="48"/>
        <v>60</v>
      </c>
      <c r="CC58" s="65"/>
      <c r="CD58" s="67">
        <f t="shared" si="78"/>
        <v>0</v>
      </c>
      <c r="CE58" s="68">
        <f t="shared" si="79"/>
        <v>0</v>
      </c>
      <c r="CF58" s="68">
        <f t="shared" si="80"/>
        <v>0</v>
      </c>
      <c r="CG58" s="68">
        <f t="shared" si="81"/>
        <v>0</v>
      </c>
      <c r="CH58" s="68">
        <f t="shared" si="82"/>
        <v>0</v>
      </c>
      <c r="CI58" s="68">
        <f t="shared" si="83"/>
        <v>0</v>
      </c>
      <c r="CJ58" s="69">
        <f t="shared" si="84"/>
        <v>0</v>
      </c>
      <c r="CM58" s="67">
        <f t="shared" si="44"/>
        <v>451.20000000000005</v>
      </c>
      <c r="CN58" s="68">
        <f t="shared" si="49"/>
        <v>330.4</v>
      </c>
      <c r="CO58" s="68">
        <f t="shared" si="50"/>
        <v>241.20000000000002</v>
      </c>
      <c r="CP58" s="68">
        <f t="shared" si="51"/>
        <v>612.79999999999995</v>
      </c>
      <c r="CQ58" s="68">
        <f t="shared" si="52"/>
        <v>306</v>
      </c>
      <c r="CR58" s="68">
        <f t="shared" si="53"/>
        <v>324</v>
      </c>
      <c r="CS58" s="69">
        <f t="shared" si="54"/>
        <v>201.60000000000002</v>
      </c>
      <c r="CU58" s="511">
        <f>SUM(SUMIF($AZ$8:$BF$8, {"NON";"NEUT"}, AZ58:BF58))/config!$AC$16</f>
        <v>9.6</v>
      </c>
      <c r="CV58" s="512">
        <f t="shared" si="45"/>
        <v>0.48958333333333365</v>
      </c>
      <c r="CY58" s="67">
        <f>SUM(C62*$CY$108, C169*$CY$109, C276*$CY$110, C383*$CY$111, C490*$CY$112, C597*$CY$113, C704*$CY$114)/config!$AC$16</f>
        <v>0.2</v>
      </c>
      <c r="CZ58" s="68">
        <f>SUM(SUM(D62:E62)*$CY$108, SUM(D169:E169)*$CY$109, SUM(D276:E276)*$CY$110, SUM(D383:E383)*$CY$111, SUM(D490:E490)*$CY$112, SUM(D597:E597)*$CY$113, SUM(D704:E704)*$CY$114)/config!$AC$16</f>
        <v>7.2</v>
      </c>
      <c r="DA58" s="68">
        <f>SUM(SUM(F62:G62)*$CY$108, SUM(F169:G169)*$CY$109, SUM(F276:G276)*$CY$110, SUM(F383:G383)*$CY$111, SUM(F490:G490)*$CY$112, SUM(F597:G597)*$CY$113, SUM(F704:G704)*$CY$114)/config!$AC$16</f>
        <v>2.2000000000000002</v>
      </c>
      <c r="DB58" s="68">
        <f>SUM(H62*$CY$108, H169*$CY$109, H276*$CY$110, H383*$CY$111, H490*$CY$112, H597*$CY$113, H704*$CY$114)/config!$AC$16</f>
        <v>0</v>
      </c>
      <c r="DC58" s="69">
        <f>SUM(SUM(I62:L62)*$CY$108, SUM(I169:L169)*$CY$109, SUM(I276:L276)*$CY$110, SUM(I383:L383)*$CY$111, SUM(I490:L490)*$CY$112, SUM(I597:L597)*$CY$113, SUM(I704:L704)*$CY$114)/config!$AC$16</f>
        <v>0</v>
      </c>
    </row>
    <row r="59" spans="1:107" ht="15" x14ac:dyDescent="0.25">
      <c r="A59" s="440" t="s">
        <v>57</v>
      </c>
      <c r="B59" s="642">
        <v>6</v>
      </c>
      <c r="C59" s="184">
        <v>0</v>
      </c>
      <c r="D59" s="184">
        <v>6</v>
      </c>
      <c r="E59" s="184">
        <v>0</v>
      </c>
      <c r="F59" s="184">
        <v>0</v>
      </c>
      <c r="G59" s="184">
        <v>0</v>
      </c>
      <c r="H59" s="184">
        <v>0</v>
      </c>
      <c r="I59" s="184">
        <v>0</v>
      </c>
      <c r="J59" s="184">
        <v>0</v>
      </c>
      <c r="K59" s="184">
        <v>0</v>
      </c>
      <c r="L59" s="184">
        <v>0</v>
      </c>
      <c r="M59" s="654" t="s">
        <v>24</v>
      </c>
      <c r="N59" s="670" t="s">
        <v>57</v>
      </c>
      <c r="O59" s="642">
        <v>0</v>
      </c>
      <c r="P59" s="184">
        <v>0</v>
      </c>
      <c r="Q59" s="184">
        <v>0</v>
      </c>
      <c r="R59" s="184">
        <v>1</v>
      </c>
      <c r="S59" s="184">
        <v>0</v>
      </c>
      <c r="T59" s="184">
        <v>3</v>
      </c>
      <c r="U59" s="184">
        <v>1</v>
      </c>
      <c r="V59" s="184">
        <v>0</v>
      </c>
      <c r="W59" s="184">
        <v>1</v>
      </c>
      <c r="X59" s="184">
        <v>0</v>
      </c>
      <c r="Y59" s="184">
        <v>0</v>
      </c>
      <c r="Z59" s="184">
        <v>0</v>
      </c>
      <c r="AA59" s="184">
        <v>0</v>
      </c>
      <c r="AB59" s="184">
        <v>0</v>
      </c>
      <c r="AC59" s="185">
        <v>33.9</v>
      </c>
      <c r="AD59" s="185" t="s">
        <v>24</v>
      </c>
      <c r="AE59" s="184">
        <v>0</v>
      </c>
      <c r="AF59" s="185">
        <v>0</v>
      </c>
      <c r="AG59" s="184">
        <v>0</v>
      </c>
      <c r="AH59" s="185">
        <v>0</v>
      </c>
      <c r="AI59" s="184">
        <v>0</v>
      </c>
      <c r="AJ59" s="643">
        <v>0</v>
      </c>
      <c r="AP59" s="401">
        <f t="shared" si="40"/>
        <v>9</v>
      </c>
      <c r="AR59" s="56">
        <f t="shared" si="41"/>
        <v>0.50000000000000033</v>
      </c>
      <c r="AS59" s="67">
        <f>SUM(C63,C170,C277,C384,C491,C598,C705)/config!$AC$13</f>
        <v>0.2857142857142857</v>
      </c>
      <c r="AT59" s="68">
        <f>SUM(D63:E63,D170:E170,D277:E277,D384:E384,D491:E491,D598:E598,D705:E705)/config!$AC$13</f>
        <v>9.4285714285714288</v>
      </c>
      <c r="AU59" s="68">
        <f>SUM(F63:G63,F170:G170,F277:G277,F384:G384,F491:G491,F598:G598,F705:G705)/config!$AC$13</f>
        <v>1.2857142857142858</v>
      </c>
      <c r="AV59" s="68">
        <f>SUM(H63,H170,H277,H384,H491,H598,H705)/config!$AC$13</f>
        <v>0.2857142857142857</v>
      </c>
      <c r="AW59" s="69">
        <f>SUM(I63:L63,I170:L170,I277:L277,I384:L384,I491:L491,I598:L598,I705:L705)/config!$AC$13</f>
        <v>0</v>
      </c>
      <c r="AY59" s="56">
        <f t="shared" si="42"/>
        <v>0.50000000000000033</v>
      </c>
      <c r="AZ59" s="70">
        <f t="shared" si="55"/>
        <v>12</v>
      </c>
      <c r="BA59" s="71">
        <f t="shared" si="56"/>
        <v>11</v>
      </c>
      <c r="BB59" s="71">
        <f t="shared" si="57"/>
        <v>11</v>
      </c>
      <c r="BC59" s="71">
        <f t="shared" si="58"/>
        <v>6</v>
      </c>
      <c r="BD59" s="71">
        <f t="shared" si="59"/>
        <v>16</v>
      </c>
      <c r="BE59" s="71">
        <f t="shared" si="60"/>
        <v>13</v>
      </c>
      <c r="BF59" s="72">
        <f t="shared" si="61"/>
        <v>10</v>
      </c>
      <c r="BG59" s="45"/>
      <c r="BH59" s="56">
        <f t="shared" si="62"/>
        <v>0.50000000000000033</v>
      </c>
      <c r="BI59" s="67">
        <f t="shared" si="63"/>
        <v>36</v>
      </c>
      <c r="BJ59" s="68">
        <f t="shared" si="64"/>
        <v>37.299999999999997</v>
      </c>
      <c r="BK59" s="68">
        <f t="shared" si="65"/>
        <v>38.799999999999997</v>
      </c>
      <c r="BL59" s="68">
        <f t="shared" si="66"/>
        <v>37.6</v>
      </c>
      <c r="BM59" s="68">
        <f t="shared" si="67"/>
        <v>31.8</v>
      </c>
      <c r="BN59" s="68">
        <f t="shared" si="68"/>
        <v>39.5</v>
      </c>
      <c r="BO59" s="69">
        <f t="shared" si="69"/>
        <v>40</v>
      </c>
      <c r="BP59" s="63"/>
      <c r="BQ59" s="64">
        <f t="shared" si="70"/>
        <v>0.50000000000000033</v>
      </c>
      <c r="BR59" s="67">
        <f t="shared" si="71"/>
        <v>42.1</v>
      </c>
      <c r="BS59" s="68">
        <f t="shared" si="72"/>
        <v>43.2</v>
      </c>
      <c r="BT59" s="68">
        <f t="shared" si="73"/>
        <v>41.7</v>
      </c>
      <c r="BU59" s="68" t="str">
        <f t="shared" si="74"/>
        <v/>
      </c>
      <c r="BV59" s="68">
        <f t="shared" si="75"/>
        <v>43.1</v>
      </c>
      <c r="BW59" s="68">
        <f t="shared" si="76"/>
        <v>49.4</v>
      </c>
      <c r="BX59" s="69" t="str">
        <f t="shared" si="77"/>
        <v/>
      </c>
      <c r="BY59" s="65"/>
      <c r="BZ59" s="66">
        <f t="shared" si="43"/>
        <v>37.285714285714285</v>
      </c>
      <c r="CA59" s="414">
        <f t="shared" si="31"/>
        <v>43.900000000000006</v>
      </c>
      <c r="CB59" s="416">
        <f t="shared" si="48"/>
        <v>60</v>
      </c>
      <c r="CC59" s="65"/>
      <c r="CD59" s="67">
        <f t="shared" si="78"/>
        <v>0</v>
      </c>
      <c r="CE59" s="68">
        <f t="shared" si="79"/>
        <v>0</v>
      </c>
      <c r="CF59" s="68">
        <f t="shared" si="80"/>
        <v>0</v>
      </c>
      <c r="CG59" s="68">
        <f t="shared" si="81"/>
        <v>0</v>
      </c>
      <c r="CH59" s="68">
        <f t="shared" si="82"/>
        <v>0</v>
      </c>
      <c r="CI59" s="68">
        <f t="shared" si="83"/>
        <v>0</v>
      </c>
      <c r="CJ59" s="69">
        <f t="shared" si="84"/>
        <v>0</v>
      </c>
      <c r="CM59" s="67">
        <f t="shared" si="44"/>
        <v>432</v>
      </c>
      <c r="CN59" s="68">
        <f t="shared" si="49"/>
        <v>410.29999999999995</v>
      </c>
      <c r="CO59" s="68">
        <f t="shared" si="50"/>
        <v>426.79999999999995</v>
      </c>
      <c r="CP59" s="68">
        <f t="shared" si="51"/>
        <v>225.60000000000002</v>
      </c>
      <c r="CQ59" s="68">
        <f t="shared" si="52"/>
        <v>508.8</v>
      </c>
      <c r="CR59" s="68">
        <f t="shared" si="53"/>
        <v>513.5</v>
      </c>
      <c r="CS59" s="69">
        <f t="shared" si="54"/>
        <v>400</v>
      </c>
      <c r="CU59" s="511">
        <f>SUM(SUMIF($AZ$8:$BF$8, {"NON";"NEUT"}, AZ59:BF59))/config!$AC$16</f>
        <v>10</v>
      </c>
      <c r="CV59" s="512">
        <f t="shared" si="45"/>
        <v>0.50000000000000033</v>
      </c>
      <c r="CY59" s="67">
        <f>SUM(C63*$CY$108, C170*$CY$109, C277*$CY$110, C384*$CY$111, C491*$CY$112, C598*$CY$113, C705*$CY$114)/config!$AC$16</f>
        <v>0</v>
      </c>
      <c r="CZ59" s="68">
        <f>SUM(SUM(D63:E63)*$CY$108, SUM(D170:E170)*$CY$109, SUM(D277:E277)*$CY$110, SUM(D384:E384)*$CY$111, SUM(D491:E491)*$CY$112, SUM(D598:E598)*$CY$113, SUM(D705:E705)*$CY$114)/config!$AC$16</f>
        <v>8.6</v>
      </c>
      <c r="DA59" s="68">
        <f>SUM(SUM(F63:G63)*$CY$108, SUM(F170:G170)*$CY$109, SUM(F277:G277)*$CY$110, SUM(F384:G384)*$CY$111, SUM(F491:G491)*$CY$112, SUM(F598:G598)*$CY$113, SUM(F705:G705)*$CY$114)/config!$AC$16</f>
        <v>1.4</v>
      </c>
      <c r="DB59" s="68">
        <f>SUM(H63*$CY$108, H170*$CY$109, H277*$CY$110, H384*$CY$111, H491*$CY$112, H598*$CY$113, H705*$CY$114)/config!$AC$16</f>
        <v>0</v>
      </c>
      <c r="DC59" s="69">
        <f>SUM(SUM(I63:L63)*$CY$108, SUM(I170:L170)*$CY$109, SUM(I277:L277)*$CY$110, SUM(I384:L384)*$CY$111, SUM(I491:L491)*$CY$112, SUM(I598:L598)*$CY$113, SUM(I705:L705)*$CY$114)/config!$AC$16</f>
        <v>0</v>
      </c>
    </row>
    <row r="60" spans="1:107" ht="15" x14ac:dyDescent="0.25">
      <c r="A60" s="440" t="s">
        <v>94</v>
      </c>
      <c r="B60" s="642">
        <v>10</v>
      </c>
      <c r="C60" s="184">
        <v>0</v>
      </c>
      <c r="D60" s="184">
        <v>9</v>
      </c>
      <c r="E60" s="184">
        <v>0</v>
      </c>
      <c r="F60" s="184">
        <v>1</v>
      </c>
      <c r="G60" s="184">
        <v>0</v>
      </c>
      <c r="H60" s="184">
        <v>0</v>
      </c>
      <c r="I60" s="184">
        <v>0</v>
      </c>
      <c r="J60" s="184">
        <v>0</v>
      </c>
      <c r="K60" s="184">
        <v>0</v>
      </c>
      <c r="L60" s="184">
        <v>0</v>
      </c>
      <c r="M60" s="654" t="s">
        <v>24</v>
      </c>
      <c r="N60" s="670" t="s">
        <v>94</v>
      </c>
      <c r="O60" s="642">
        <v>0</v>
      </c>
      <c r="P60" s="184">
        <v>0</v>
      </c>
      <c r="Q60" s="184">
        <v>0</v>
      </c>
      <c r="R60" s="184">
        <v>0</v>
      </c>
      <c r="S60" s="184">
        <v>2</v>
      </c>
      <c r="T60" s="184">
        <v>5</v>
      </c>
      <c r="U60" s="184">
        <v>0</v>
      </c>
      <c r="V60" s="184">
        <v>0</v>
      </c>
      <c r="W60" s="184">
        <v>2</v>
      </c>
      <c r="X60" s="184">
        <v>1</v>
      </c>
      <c r="Y60" s="184">
        <v>0</v>
      </c>
      <c r="Z60" s="184">
        <v>0</v>
      </c>
      <c r="AA60" s="184">
        <v>0</v>
      </c>
      <c r="AB60" s="184">
        <v>0</v>
      </c>
      <c r="AC60" s="185">
        <v>36.5</v>
      </c>
      <c r="AD60" s="185" t="s">
        <v>24</v>
      </c>
      <c r="AE60" s="184">
        <v>0</v>
      </c>
      <c r="AF60" s="185">
        <v>0</v>
      </c>
      <c r="AG60" s="184">
        <v>0</v>
      </c>
      <c r="AH60" s="185">
        <v>0</v>
      </c>
      <c r="AI60" s="184">
        <v>0</v>
      </c>
      <c r="AJ60" s="643">
        <v>0</v>
      </c>
      <c r="AP60" s="401">
        <f t="shared" si="40"/>
        <v>6</v>
      </c>
      <c r="AR60" s="56">
        <f t="shared" si="41"/>
        <v>0.51041666666666696</v>
      </c>
      <c r="AS60" s="67">
        <f>SUM(C64,C171,C278,C385,C492,C599,C706)/config!$AC$13</f>
        <v>1.1428571428571428</v>
      </c>
      <c r="AT60" s="68">
        <f>SUM(D64:E64,D171:E171,D278:E278,D385:E385,D492:E492,D599:E599,D706:E706)/config!$AC$13</f>
        <v>8.1428571428571423</v>
      </c>
      <c r="AU60" s="68">
        <f>SUM(F64:G64,F171:G171,F278:G278,F385:G385,F492:G492,F599:G599,F706:G706)/config!$AC$13</f>
        <v>0.8571428571428571</v>
      </c>
      <c r="AV60" s="68">
        <f>SUM(H64,H171,H278,H385,H492,H599,H706)/config!$AC$13</f>
        <v>0</v>
      </c>
      <c r="AW60" s="69">
        <f>SUM(I64:L64,I171:L171,I278:L278,I385:L385,I492:L492,I599:L599,I706:L706)/config!$AC$13</f>
        <v>0</v>
      </c>
      <c r="AY60" s="56">
        <f t="shared" si="42"/>
        <v>0.51041666666666696</v>
      </c>
      <c r="AZ60" s="70">
        <f t="shared" si="55"/>
        <v>7</v>
      </c>
      <c r="BA60" s="71">
        <f t="shared" si="56"/>
        <v>4</v>
      </c>
      <c r="BB60" s="71">
        <f t="shared" si="57"/>
        <v>15</v>
      </c>
      <c r="BC60" s="71">
        <f t="shared" si="58"/>
        <v>8</v>
      </c>
      <c r="BD60" s="71">
        <f t="shared" si="59"/>
        <v>19</v>
      </c>
      <c r="BE60" s="71">
        <f t="shared" si="60"/>
        <v>10</v>
      </c>
      <c r="BF60" s="72">
        <f t="shared" si="61"/>
        <v>8</v>
      </c>
      <c r="BG60" s="45"/>
      <c r="BH60" s="56">
        <f t="shared" si="62"/>
        <v>0.51041666666666696</v>
      </c>
      <c r="BI60" s="67">
        <f t="shared" si="63"/>
        <v>32.799999999999997</v>
      </c>
      <c r="BJ60" s="68">
        <f t="shared" si="64"/>
        <v>39.700000000000003</v>
      </c>
      <c r="BK60" s="68">
        <f t="shared" si="65"/>
        <v>40.200000000000003</v>
      </c>
      <c r="BL60" s="68">
        <f t="shared" si="66"/>
        <v>38.200000000000003</v>
      </c>
      <c r="BM60" s="68">
        <f t="shared" si="67"/>
        <v>30.7</v>
      </c>
      <c r="BN60" s="68">
        <f t="shared" si="68"/>
        <v>33.6</v>
      </c>
      <c r="BO60" s="69">
        <f t="shared" si="69"/>
        <v>38</v>
      </c>
      <c r="BP60" s="63"/>
      <c r="BQ60" s="64">
        <f t="shared" si="70"/>
        <v>0.51041666666666696</v>
      </c>
      <c r="BR60" s="67" t="str">
        <f t="shared" si="71"/>
        <v/>
      </c>
      <c r="BS60" s="68" t="str">
        <f t="shared" si="72"/>
        <v/>
      </c>
      <c r="BT60" s="68">
        <f t="shared" si="73"/>
        <v>44.6</v>
      </c>
      <c r="BU60" s="68" t="str">
        <f t="shared" si="74"/>
        <v/>
      </c>
      <c r="BV60" s="68">
        <f t="shared" si="75"/>
        <v>40.9</v>
      </c>
      <c r="BW60" s="68" t="str">
        <f t="shared" si="76"/>
        <v/>
      </c>
      <c r="BX60" s="69" t="str">
        <f t="shared" si="77"/>
        <v/>
      </c>
      <c r="BY60" s="65"/>
      <c r="BZ60" s="66">
        <f t="shared" si="43"/>
        <v>36.171428571428571</v>
      </c>
      <c r="CA60" s="414">
        <f t="shared" si="31"/>
        <v>42.75</v>
      </c>
      <c r="CB60" s="416">
        <f t="shared" si="48"/>
        <v>60</v>
      </c>
      <c r="CC60" s="65"/>
      <c r="CD60" s="67">
        <f t="shared" si="78"/>
        <v>0</v>
      </c>
      <c r="CE60" s="68">
        <f t="shared" si="79"/>
        <v>0</v>
      </c>
      <c r="CF60" s="68">
        <f t="shared" si="80"/>
        <v>0</v>
      </c>
      <c r="CG60" s="68">
        <f t="shared" si="81"/>
        <v>0</v>
      </c>
      <c r="CH60" s="68">
        <f t="shared" si="82"/>
        <v>0</v>
      </c>
      <c r="CI60" s="68">
        <f t="shared" si="83"/>
        <v>0</v>
      </c>
      <c r="CJ60" s="69">
        <f t="shared" si="84"/>
        <v>0</v>
      </c>
      <c r="CM60" s="67">
        <f t="shared" si="44"/>
        <v>229.59999999999997</v>
      </c>
      <c r="CN60" s="68">
        <f t="shared" si="49"/>
        <v>158.80000000000001</v>
      </c>
      <c r="CO60" s="68">
        <f t="shared" si="50"/>
        <v>603</v>
      </c>
      <c r="CP60" s="68">
        <f t="shared" si="51"/>
        <v>305.60000000000002</v>
      </c>
      <c r="CQ60" s="68">
        <f t="shared" si="52"/>
        <v>583.29999999999995</v>
      </c>
      <c r="CR60" s="68">
        <f t="shared" si="53"/>
        <v>336</v>
      </c>
      <c r="CS60" s="69">
        <f t="shared" si="54"/>
        <v>304</v>
      </c>
      <c r="CU60" s="511">
        <f>SUM(SUMIF($AZ$8:$BF$8, {"NON";"NEUT"}, AZ60:BF60))/config!$AC$16</f>
        <v>8.4</v>
      </c>
      <c r="CV60" s="512">
        <f t="shared" si="45"/>
        <v>0.51041666666666696</v>
      </c>
      <c r="CY60" s="67">
        <f>SUM(C64*$CY$108, C171*$CY$109, C278*$CY$110, C385*$CY$111, C492*$CY$112, C599*$CY$113, C706*$CY$114)/config!$AC$16</f>
        <v>0</v>
      </c>
      <c r="CZ60" s="68">
        <f>SUM(SUM(D64:E64)*$CY$108, SUM(D171:E171)*$CY$109, SUM(D278:E278)*$CY$110, SUM(D385:E385)*$CY$111, SUM(D492:E492)*$CY$112, SUM(D599:E599)*$CY$113, SUM(D706:E706)*$CY$114)/config!$AC$16</f>
        <v>7.6</v>
      </c>
      <c r="DA60" s="68">
        <f>SUM(SUM(F64:G64)*$CY$108, SUM(F171:G171)*$CY$109, SUM(F278:G278)*$CY$110, SUM(F385:G385)*$CY$111, SUM(F492:G492)*$CY$112, SUM(F599:G599)*$CY$113, SUM(F706:G706)*$CY$114)/config!$AC$16</f>
        <v>0.8</v>
      </c>
      <c r="DB60" s="68">
        <f>SUM(H64*$CY$108, H171*$CY$109, H278*$CY$110, H385*$CY$111, H492*$CY$112, H599*$CY$113, H706*$CY$114)/config!$AC$16</f>
        <v>0</v>
      </c>
      <c r="DC60" s="69">
        <f>SUM(SUM(I64:L64)*$CY$108, SUM(I171:L171)*$CY$109, SUM(I278:L278)*$CY$110, SUM(I385:L385)*$CY$111, SUM(I492:L492)*$CY$112, SUM(I599:L599)*$CY$113, SUM(I706:L706)*$CY$114)/config!$AC$16</f>
        <v>0</v>
      </c>
    </row>
    <row r="61" spans="1:107" ht="15" x14ac:dyDescent="0.25">
      <c r="A61" s="440" t="s">
        <v>95</v>
      </c>
      <c r="B61" s="642">
        <v>14</v>
      </c>
      <c r="C61" s="184">
        <v>0</v>
      </c>
      <c r="D61" s="184">
        <v>13</v>
      </c>
      <c r="E61" s="184">
        <v>0</v>
      </c>
      <c r="F61" s="184">
        <v>1</v>
      </c>
      <c r="G61" s="184">
        <v>0</v>
      </c>
      <c r="H61" s="184">
        <v>0</v>
      </c>
      <c r="I61" s="184">
        <v>0</v>
      </c>
      <c r="J61" s="184">
        <v>0</v>
      </c>
      <c r="K61" s="184">
        <v>0</v>
      </c>
      <c r="L61" s="184">
        <v>0</v>
      </c>
      <c r="M61" s="654" t="s">
        <v>24</v>
      </c>
      <c r="N61" s="670" t="s">
        <v>95</v>
      </c>
      <c r="O61" s="642">
        <v>0</v>
      </c>
      <c r="P61" s="184">
        <v>0</v>
      </c>
      <c r="Q61" s="184">
        <v>0</v>
      </c>
      <c r="R61" s="184">
        <v>0</v>
      </c>
      <c r="S61" s="184">
        <v>0</v>
      </c>
      <c r="T61" s="184">
        <v>3</v>
      </c>
      <c r="U61" s="184">
        <v>4</v>
      </c>
      <c r="V61" s="184">
        <v>2</v>
      </c>
      <c r="W61" s="184">
        <v>2</v>
      </c>
      <c r="X61" s="184">
        <v>3</v>
      </c>
      <c r="Y61" s="184">
        <v>0</v>
      </c>
      <c r="Z61" s="184">
        <v>0</v>
      </c>
      <c r="AA61" s="184">
        <v>0</v>
      </c>
      <c r="AB61" s="184">
        <v>0</v>
      </c>
      <c r="AC61" s="185">
        <v>42.5</v>
      </c>
      <c r="AD61" s="185">
        <v>53.5</v>
      </c>
      <c r="AE61" s="184">
        <v>0</v>
      </c>
      <c r="AF61" s="185">
        <v>0</v>
      </c>
      <c r="AG61" s="184">
        <v>0</v>
      </c>
      <c r="AH61" s="185">
        <v>0</v>
      </c>
      <c r="AI61" s="184">
        <v>0</v>
      </c>
      <c r="AJ61" s="643">
        <v>0</v>
      </c>
      <c r="AP61" s="401">
        <f t="shared" si="40"/>
        <v>4</v>
      </c>
      <c r="AR61" s="56">
        <f t="shared" si="41"/>
        <v>0.52083333333333359</v>
      </c>
      <c r="AS61" s="67">
        <f>SUM(C65,C172,C279,C386,C493,C600,C707)/config!$AC$13</f>
        <v>0.2857142857142857</v>
      </c>
      <c r="AT61" s="68">
        <f>SUM(D65:E65,D172:E172,D279:E279,D386:E386,D493:E493,D600:E600,D707:E707)/config!$AC$13</f>
        <v>7.7142857142857144</v>
      </c>
      <c r="AU61" s="68">
        <f>SUM(F65:G65,F172:G172,F279:G279,F386:G386,F493:G493,F600:G600,F707:G707)/config!$AC$13</f>
        <v>0.5714285714285714</v>
      </c>
      <c r="AV61" s="68">
        <f>SUM(H65,H172,H279,H386,H493,H600,H707)/config!$AC$13</f>
        <v>0</v>
      </c>
      <c r="AW61" s="69">
        <f>SUM(I65:L65,I172:L172,I279:L279,I386:L386,I493:L493,I600:L600,I707:L707)/config!$AC$13</f>
        <v>0</v>
      </c>
      <c r="AY61" s="56">
        <f t="shared" si="42"/>
        <v>0.52083333333333359</v>
      </c>
      <c r="AZ61" s="70">
        <f t="shared" si="55"/>
        <v>7</v>
      </c>
      <c r="BA61" s="71">
        <f t="shared" si="56"/>
        <v>13</v>
      </c>
      <c r="BB61" s="71">
        <f t="shared" si="57"/>
        <v>5</v>
      </c>
      <c r="BC61" s="71">
        <f t="shared" si="58"/>
        <v>7</v>
      </c>
      <c r="BD61" s="71">
        <f t="shared" si="59"/>
        <v>10</v>
      </c>
      <c r="BE61" s="71">
        <f t="shared" si="60"/>
        <v>14</v>
      </c>
      <c r="BF61" s="72">
        <f t="shared" si="61"/>
        <v>4</v>
      </c>
      <c r="BG61" s="45"/>
      <c r="BH61" s="56">
        <f t="shared" si="62"/>
        <v>0.52083333333333359</v>
      </c>
      <c r="BI61" s="67">
        <f t="shared" si="63"/>
        <v>45.4</v>
      </c>
      <c r="BJ61" s="68">
        <f t="shared" si="64"/>
        <v>32.4</v>
      </c>
      <c r="BK61" s="68">
        <f t="shared" si="65"/>
        <v>49.9</v>
      </c>
      <c r="BL61" s="68">
        <f t="shared" si="66"/>
        <v>38.9</v>
      </c>
      <c r="BM61" s="68">
        <f t="shared" si="67"/>
        <v>38.299999999999997</v>
      </c>
      <c r="BN61" s="68">
        <f t="shared" si="68"/>
        <v>36.200000000000003</v>
      </c>
      <c r="BO61" s="69">
        <f t="shared" si="69"/>
        <v>40.799999999999997</v>
      </c>
      <c r="BP61" s="63"/>
      <c r="BQ61" s="64">
        <f t="shared" si="70"/>
        <v>0.52083333333333359</v>
      </c>
      <c r="BR61" s="67" t="str">
        <f t="shared" si="71"/>
        <v/>
      </c>
      <c r="BS61" s="68">
        <f t="shared" si="72"/>
        <v>38.200000000000003</v>
      </c>
      <c r="BT61" s="68" t="str">
        <f t="shared" si="73"/>
        <v/>
      </c>
      <c r="BU61" s="68" t="str">
        <f t="shared" si="74"/>
        <v/>
      </c>
      <c r="BV61" s="68" t="str">
        <f t="shared" si="75"/>
        <v/>
      </c>
      <c r="BW61" s="68">
        <f t="shared" si="76"/>
        <v>41</v>
      </c>
      <c r="BX61" s="69" t="str">
        <f t="shared" si="77"/>
        <v/>
      </c>
      <c r="BY61" s="65"/>
      <c r="BZ61" s="66">
        <f t="shared" si="43"/>
        <v>40.271428571428565</v>
      </c>
      <c r="CA61" s="414">
        <f t="shared" si="31"/>
        <v>39.6</v>
      </c>
      <c r="CB61" s="416">
        <f t="shared" si="48"/>
        <v>60</v>
      </c>
      <c r="CC61" s="65"/>
      <c r="CD61" s="67">
        <f t="shared" si="78"/>
        <v>0</v>
      </c>
      <c r="CE61" s="68">
        <f t="shared" si="79"/>
        <v>0</v>
      </c>
      <c r="CF61" s="68">
        <f t="shared" si="80"/>
        <v>0</v>
      </c>
      <c r="CG61" s="68">
        <f t="shared" si="81"/>
        <v>0</v>
      </c>
      <c r="CH61" s="68">
        <f t="shared" si="82"/>
        <v>0</v>
      </c>
      <c r="CI61" s="68">
        <f t="shared" si="83"/>
        <v>0</v>
      </c>
      <c r="CJ61" s="69">
        <f t="shared" si="84"/>
        <v>0</v>
      </c>
      <c r="CM61" s="67">
        <f t="shared" si="44"/>
        <v>317.8</v>
      </c>
      <c r="CN61" s="68">
        <f t="shared" si="49"/>
        <v>421.2</v>
      </c>
      <c r="CO61" s="68">
        <f t="shared" si="50"/>
        <v>249.5</v>
      </c>
      <c r="CP61" s="68">
        <f t="shared" si="51"/>
        <v>272.3</v>
      </c>
      <c r="CQ61" s="68">
        <f t="shared" si="52"/>
        <v>383</v>
      </c>
      <c r="CR61" s="68">
        <f t="shared" si="53"/>
        <v>506.80000000000007</v>
      </c>
      <c r="CS61" s="69">
        <f t="shared" si="54"/>
        <v>163.19999999999999</v>
      </c>
      <c r="CU61" s="511">
        <f>SUM(SUMIF($AZ$8:$BF$8, {"NON";"NEUT"}, AZ61:BF61))/config!$AC$16</f>
        <v>7.2</v>
      </c>
      <c r="CV61" s="512">
        <f t="shared" si="45"/>
        <v>0.52083333333333359</v>
      </c>
      <c r="CY61" s="67">
        <f>SUM(C65*$CY$108, C172*$CY$109, C279*$CY$110, C386*$CY$111, C493*$CY$112, C600*$CY$113, C707*$CY$114)/config!$AC$16</f>
        <v>0.2</v>
      </c>
      <c r="CZ61" s="68">
        <f>SUM(SUM(D65:E65)*$CY$108, SUM(D172:E172)*$CY$109, SUM(D279:E279)*$CY$110, SUM(D386:E386)*$CY$111, SUM(D493:E493)*$CY$112, SUM(D600:E600)*$CY$113, SUM(D707:E707)*$CY$114)/config!$AC$16</f>
        <v>6.2</v>
      </c>
      <c r="DA61" s="68">
        <f>SUM(SUM(F65:G65)*$CY$108, SUM(F172:G172)*$CY$109, SUM(F279:G279)*$CY$110, SUM(F386:G386)*$CY$111, SUM(F493:G493)*$CY$112, SUM(F600:G600)*$CY$113, SUM(F707:G707)*$CY$114)/config!$AC$16</f>
        <v>0.8</v>
      </c>
      <c r="DB61" s="68">
        <f>SUM(H65*$CY$108, H172*$CY$109, H279*$CY$110, H386*$CY$111, H493*$CY$112, H600*$CY$113, H707*$CY$114)/config!$AC$16</f>
        <v>0</v>
      </c>
      <c r="DC61" s="69">
        <f>SUM(SUM(I65:L65)*$CY$108, SUM(I172:L172)*$CY$109, SUM(I279:L279)*$CY$110, SUM(I386:L386)*$CY$111, SUM(I493:L493)*$CY$112, SUM(I600:L600)*$CY$113, SUM(I707:L707)*$CY$114)/config!$AC$16</f>
        <v>0</v>
      </c>
    </row>
    <row r="62" spans="1:107" ht="15" x14ac:dyDescent="0.25">
      <c r="A62" s="440" t="s">
        <v>96</v>
      </c>
      <c r="B62" s="642">
        <v>12</v>
      </c>
      <c r="C62" s="184">
        <v>1</v>
      </c>
      <c r="D62" s="184">
        <v>7</v>
      </c>
      <c r="E62" s="184">
        <v>0</v>
      </c>
      <c r="F62" s="184">
        <v>4</v>
      </c>
      <c r="G62" s="184">
        <v>0</v>
      </c>
      <c r="H62" s="184">
        <v>0</v>
      </c>
      <c r="I62" s="184">
        <v>0</v>
      </c>
      <c r="J62" s="184">
        <v>0</v>
      </c>
      <c r="K62" s="184">
        <v>0</v>
      </c>
      <c r="L62" s="184">
        <v>0</v>
      </c>
      <c r="M62" s="654" t="s">
        <v>24</v>
      </c>
      <c r="N62" s="670" t="s">
        <v>96</v>
      </c>
      <c r="O62" s="642">
        <v>0</v>
      </c>
      <c r="P62" s="184">
        <v>1</v>
      </c>
      <c r="Q62" s="184">
        <v>0</v>
      </c>
      <c r="R62" s="184">
        <v>0</v>
      </c>
      <c r="S62" s="184">
        <v>0</v>
      </c>
      <c r="T62" s="184">
        <v>0</v>
      </c>
      <c r="U62" s="184">
        <v>5</v>
      </c>
      <c r="V62" s="184">
        <v>6</v>
      </c>
      <c r="W62" s="184">
        <v>0</v>
      </c>
      <c r="X62" s="184">
        <v>0</v>
      </c>
      <c r="Y62" s="184">
        <v>0</v>
      </c>
      <c r="Z62" s="184">
        <v>0</v>
      </c>
      <c r="AA62" s="184">
        <v>0</v>
      </c>
      <c r="AB62" s="184">
        <v>0</v>
      </c>
      <c r="AC62" s="185">
        <v>37.6</v>
      </c>
      <c r="AD62" s="185">
        <v>43.7</v>
      </c>
      <c r="AE62" s="184">
        <v>0</v>
      </c>
      <c r="AF62" s="185">
        <v>0</v>
      </c>
      <c r="AG62" s="184">
        <v>0</v>
      </c>
      <c r="AH62" s="185">
        <v>0</v>
      </c>
      <c r="AI62" s="184">
        <v>0</v>
      </c>
      <c r="AJ62" s="643">
        <v>0</v>
      </c>
      <c r="AP62" s="401">
        <f t="shared" si="40"/>
        <v>8</v>
      </c>
      <c r="AR62" s="56">
        <f t="shared" si="41"/>
        <v>0.53125000000000022</v>
      </c>
      <c r="AS62" s="67">
        <f>SUM(C66,C173,C280,C387,C494,C601,C708)/config!$AC$13</f>
        <v>0.5714285714285714</v>
      </c>
      <c r="AT62" s="68">
        <f>SUM(D66:E66,D173:E173,D280:E280,D387:E387,D494:E494,D601:E601,D708:E708)/config!$AC$13</f>
        <v>5.4285714285714288</v>
      </c>
      <c r="AU62" s="68">
        <f>SUM(F66:G66,F173:G173,F280:G280,F387:G387,F494:G494,F601:G601,F708:G708)/config!$AC$13</f>
        <v>1.2857142857142858</v>
      </c>
      <c r="AV62" s="68">
        <f>SUM(H66,H173,H280,H387,H494,H601,H708)/config!$AC$13</f>
        <v>0</v>
      </c>
      <c r="AW62" s="69">
        <f>SUM(I66:L66,I173:L173,I280:L280,I387:L387,I494:L494,I601:L601,I708:L708)/config!$AC$13</f>
        <v>0</v>
      </c>
      <c r="AY62" s="56">
        <f t="shared" si="42"/>
        <v>0.53125000000000022</v>
      </c>
      <c r="AZ62" s="70">
        <f t="shared" si="55"/>
        <v>7</v>
      </c>
      <c r="BA62" s="71">
        <f t="shared" si="56"/>
        <v>8</v>
      </c>
      <c r="BB62" s="71">
        <f t="shared" si="57"/>
        <v>7</v>
      </c>
      <c r="BC62" s="71">
        <f t="shared" si="58"/>
        <v>5</v>
      </c>
      <c r="BD62" s="71">
        <f t="shared" si="59"/>
        <v>10</v>
      </c>
      <c r="BE62" s="71">
        <f t="shared" si="60"/>
        <v>5</v>
      </c>
      <c r="BF62" s="72">
        <f t="shared" si="61"/>
        <v>9</v>
      </c>
      <c r="BG62" s="45"/>
      <c r="BH62" s="56">
        <f t="shared" si="62"/>
        <v>0.53125000000000022</v>
      </c>
      <c r="BI62" s="67">
        <f t="shared" si="63"/>
        <v>38.5</v>
      </c>
      <c r="BJ62" s="68">
        <f t="shared" si="64"/>
        <v>37.799999999999997</v>
      </c>
      <c r="BK62" s="68">
        <f t="shared" si="65"/>
        <v>33.700000000000003</v>
      </c>
      <c r="BL62" s="68">
        <f t="shared" si="66"/>
        <v>44.2</v>
      </c>
      <c r="BM62" s="68">
        <f t="shared" si="67"/>
        <v>31.8</v>
      </c>
      <c r="BN62" s="68">
        <f t="shared" si="68"/>
        <v>39.5</v>
      </c>
      <c r="BO62" s="69">
        <f t="shared" si="69"/>
        <v>38</v>
      </c>
      <c r="BP62" s="63"/>
      <c r="BQ62" s="64">
        <f t="shared" si="70"/>
        <v>0.53125000000000022</v>
      </c>
      <c r="BR62" s="67" t="str">
        <f t="shared" si="71"/>
        <v/>
      </c>
      <c r="BS62" s="68" t="str">
        <f t="shared" si="72"/>
        <v/>
      </c>
      <c r="BT62" s="68" t="str">
        <f t="shared" si="73"/>
        <v/>
      </c>
      <c r="BU62" s="68" t="str">
        <f t="shared" si="74"/>
        <v/>
      </c>
      <c r="BV62" s="68" t="str">
        <f t="shared" si="75"/>
        <v/>
      </c>
      <c r="BW62" s="68" t="str">
        <f t="shared" si="76"/>
        <v/>
      </c>
      <c r="BX62" s="69" t="str">
        <f t="shared" si="77"/>
        <v/>
      </c>
      <c r="BY62" s="65"/>
      <c r="BZ62" s="66">
        <f t="shared" si="43"/>
        <v>37.642857142857146</v>
      </c>
      <c r="CA62" s="414" t="e">
        <f t="shared" si="31"/>
        <v>#N/A</v>
      </c>
      <c r="CB62" s="416">
        <f t="shared" si="48"/>
        <v>60</v>
      </c>
      <c r="CC62" s="65"/>
      <c r="CD62" s="67">
        <f t="shared" si="78"/>
        <v>0</v>
      </c>
      <c r="CE62" s="68">
        <f t="shared" si="79"/>
        <v>0</v>
      </c>
      <c r="CF62" s="68">
        <f t="shared" si="80"/>
        <v>0</v>
      </c>
      <c r="CG62" s="68">
        <f t="shared" si="81"/>
        <v>1</v>
      </c>
      <c r="CH62" s="68">
        <f t="shared" si="82"/>
        <v>0</v>
      </c>
      <c r="CI62" s="68">
        <f t="shared" si="83"/>
        <v>0</v>
      </c>
      <c r="CJ62" s="69">
        <f t="shared" si="84"/>
        <v>0</v>
      </c>
      <c r="CM62" s="67">
        <f t="shared" si="44"/>
        <v>269.5</v>
      </c>
      <c r="CN62" s="68">
        <f t="shared" si="49"/>
        <v>302.39999999999998</v>
      </c>
      <c r="CO62" s="68">
        <f t="shared" si="50"/>
        <v>235.90000000000003</v>
      </c>
      <c r="CP62" s="68">
        <f t="shared" si="51"/>
        <v>221</v>
      </c>
      <c r="CQ62" s="68">
        <f t="shared" si="52"/>
        <v>318</v>
      </c>
      <c r="CR62" s="68">
        <f t="shared" si="53"/>
        <v>197.5</v>
      </c>
      <c r="CS62" s="69">
        <f t="shared" si="54"/>
        <v>342</v>
      </c>
      <c r="CU62" s="511">
        <f>SUM(SUMIF($AZ$8:$BF$8, {"NON";"NEUT"}, AZ62:BF62))/config!$AC$16</f>
        <v>7.2</v>
      </c>
      <c r="CV62" s="512">
        <f t="shared" si="45"/>
        <v>0.53125000000000022</v>
      </c>
      <c r="CY62" s="67">
        <f>SUM(C66*$CY$108, C173*$CY$109, C280*$CY$110, C387*$CY$111, C494*$CY$112, C601*$CY$113, C708*$CY$114)/config!$AC$16</f>
        <v>0.4</v>
      </c>
      <c r="CZ62" s="68">
        <f>SUM(SUM(D66:E66)*$CY$108, SUM(D173:E173)*$CY$109, SUM(D280:E280)*$CY$110, SUM(D387:E387)*$CY$111, SUM(D494:E494)*$CY$112, SUM(D601:E601)*$CY$113, SUM(D708:E708)*$CY$114)/config!$AC$16</f>
        <v>5.4</v>
      </c>
      <c r="DA62" s="68">
        <f>SUM(SUM(F66:G66)*$CY$108, SUM(F173:G173)*$CY$109, SUM(F280:G280)*$CY$110, SUM(F387:G387)*$CY$111, SUM(F494:G494)*$CY$112, SUM(F601:G601)*$CY$113, SUM(F708:G708)*$CY$114)/config!$AC$16</f>
        <v>1.4</v>
      </c>
      <c r="DB62" s="68">
        <f>SUM(H66*$CY$108, H173*$CY$109, H280*$CY$110, H387*$CY$111, H494*$CY$112, H601*$CY$113, H708*$CY$114)/config!$AC$16</f>
        <v>0</v>
      </c>
      <c r="DC62" s="69">
        <f>SUM(SUM(I66:L66)*$CY$108, SUM(I173:L173)*$CY$109, SUM(I280:L280)*$CY$110, SUM(I387:L387)*$CY$111, SUM(I494:L494)*$CY$112, SUM(I601:L601)*$CY$113, SUM(I708:L708)*$CY$114)/config!$AC$16</f>
        <v>0</v>
      </c>
    </row>
    <row r="63" spans="1:107" ht="15" x14ac:dyDescent="0.25">
      <c r="A63" s="440" t="s">
        <v>58</v>
      </c>
      <c r="B63" s="642">
        <v>12</v>
      </c>
      <c r="C63" s="184">
        <v>0</v>
      </c>
      <c r="D63" s="184">
        <v>10</v>
      </c>
      <c r="E63" s="184">
        <v>0</v>
      </c>
      <c r="F63" s="184">
        <v>2</v>
      </c>
      <c r="G63" s="184">
        <v>0</v>
      </c>
      <c r="H63" s="184">
        <v>0</v>
      </c>
      <c r="I63" s="184">
        <v>0</v>
      </c>
      <c r="J63" s="184">
        <v>0</v>
      </c>
      <c r="K63" s="184">
        <v>0</v>
      </c>
      <c r="L63" s="184">
        <v>0</v>
      </c>
      <c r="M63" s="654" t="s">
        <v>24</v>
      </c>
      <c r="N63" s="670" t="s">
        <v>58</v>
      </c>
      <c r="O63" s="642">
        <v>0</v>
      </c>
      <c r="P63" s="184">
        <v>0</v>
      </c>
      <c r="Q63" s="184">
        <v>0</v>
      </c>
      <c r="R63" s="184">
        <v>0</v>
      </c>
      <c r="S63" s="184">
        <v>0</v>
      </c>
      <c r="T63" s="184">
        <v>7</v>
      </c>
      <c r="U63" s="184">
        <v>1</v>
      </c>
      <c r="V63" s="184">
        <v>4</v>
      </c>
      <c r="W63" s="184">
        <v>0</v>
      </c>
      <c r="X63" s="184">
        <v>0</v>
      </c>
      <c r="Y63" s="184">
        <v>0</v>
      </c>
      <c r="Z63" s="184">
        <v>0</v>
      </c>
      <c r="AA63" s="184">
        <v>0</v>
      </c>
      <c r="AB63" s="184">
        <v>0</v>
      </c>
      <c r="AC63" s="185">
        <v>36</v>
      </c>
      <c r="AD63" s="185">
        <v>42.1</v>
      </c>
      <c r="AE63" s="184">
        <v>0</v>
      </c>
      <c r="AF63" s="185">
        <v>0</v>
      </c>
      <c r="AG63" s="184">
        <v>0</v>
      </c>
      <c r="AH63" s="185">
        <v>0</v>
      </c>
      <c r="AI63" s="184">
        <v>0</v>
      </c>
      <c r="AJ63" s="643">
        <v>0</v>
      </c>
      <c r="AP63" s="401">
        <f t="shared" si="40"/>
        <v>6</v>
      </c>
      <c r="AR63" s="56">
        <f t="shared" si="41"/>
        <v>0.54166666666666685</v>
      </c>
      <c r="AS63" s="67">
        <f>SUM(C67,C174,C281,C388,C495,C602,C709)/config!$AC$13</f>
        <v>0.42857142857142855</v>
      </c>
      <c r="AT63" s="68">
        <f>SUM(D67:E67,D174:E174,D281:E281,D388:E388,D495:E495,D602:E602,D709:E709)/config!$AC$13</f>
        <v>6.7142857142857144</v>
      </c>
      <c r="AU63" s="68">
        <f>SUM(F67:G67,F174:G174,F281:G281,F388:G388,F495:G495,F602:G602,F709:G709)/config!$AC$13</f>
        <v>0.8571428571428571</v>
      </c>
      <c r="AV63" s="68">
        <f>SUM(H67,H174,H281,H388,H495,H602,H709)/config!$AC$13</f>
        <v>0.14285714285714285</v>
      </c>
      <c r="AW63" s="69">
        <f>SUM(I67:L67,I174:L174,I281:L281,I388:L388,I495:L495,I602:L602,I709:L709)/config!$AC$13</f>
        <v>0</v>
      </c>
      <c r="AY63" s="56">
        <f t="shared" si="42"/>
        <v>0.54166666666666685</v>
      </c>
      <c r="AZ63" s="70">
        <f t="shared" si="55"/>
        <v>6</v>
      </c>
      <c r="BA63" s="71">
        <f t="shared" si="56"/>
        <v>6</v>
      </c>
      <c r="BB63" s="71">
        <f t="shared" si="57"/>
        <v>7</v>
      </c>
      <c r="BC63" s="71">
        <f t="shared" si="58"/>
        <v>14</v>
      </c>
      <c r="BD63" s="71">
        <f t="shared" si="59"/>
        <v>12</v>
      </c>
      <c r="BE63" s="71">
        <f t="shared" si="60"/>
        <v>7</v>
      </c>
      <c r="BF63" s="72">
        <f t="shared" si="61"/>
        <v>5</v>
      </c>
      <c r="BG63" s="45"/>
      <c r="BH63" s="56">
        <f t="shared" si="62"/>
        <v>0.54166666666666685</v>
      </c>
      <c r="BI63" s="67">
        <f t="shared" si="63"/>
        <v>39</v>
      </c>
      <c r="BJ63" s="68">
        <f t="shared" si="64"/>
        <v>41</v>
      </c>
      <c r="BK63" s="68">
        <f t="shared" si="65"/>
        <v>33.200000000000003</v>
      </c>
      <c r="BL63" s="68">
        <f t="shared" si="66"/>
        <v>35.9</v>
      </c>
      <c r="BM63" s="68">
        <f t="shared" si="67"/>
        <v>37.1</v>
      </c>
      <c r="BN63" s="68">
        <f t="shared" si="68"/>
        <v>32.9</v>
      </c>
      <c r="BO63" s="69">
        <f t="shared" si="69"/>
        <v>40.9</v>
      </c>
      <c r="BP63" s="63"/>
      <c r="BQ63" s="64">
        <f t="shared" si="70"/>
        <v>0.54166666666666685</v>
      </c>
      <c r="BR63" s="67" t="str">
        <f t="shared" si="71"/>
        <v/>
      </c>
      <c r="BS63" s="68" t="str">
        <f t="shared" si="72"/>
        <v/>
      </c>
      <c r="BT63" s="68" t="str">
        <f t="shared" si="73"/>
        <v/>
      </c>
      <c r="BU63" s="68">
        <f t="shared" si="74"/>
        <v>41.4</v>
      </c>
      <c r="BV63" s="68">
        <f t="shared" si="75"/>
        <v>48.5</v>
      </c>
      <c r="BW63" s="68" t="str">
        <f t="shared" si="76"/>
        <v/>
      </c>
      <c r="BX63" s="69" t="str">
        <f t="shared" si="77"/>
        <v/>
      </c>
      <c r="BY63" s="65"/>
      <c r="BZ63" s="66">
        <f t="shared" si="43"/>
        <v>37.142857142857146</v>
      </c>
      <c r="CA63" s="414">
        <f t="shared" si="31"/>
        <v>44.95</v>
      </c>
      <c r="CB63" s="416">
        <f t="shared" si="48"/>
        <v>60</v>
      </c>
      <c r="CC63" s="65"/>
      <c r="CD63" s="67">
        <f t="shared" si="78"/>
        <v>0</v>
      </c>
      <c r="CE63" s="68">
        <f t="shared" si="79"/>
        <v>0</v>
      </c>
      <c r="CF63" s="68">
        <f t="shared" si="80"/>
        <v>0</v>
      </c>
      <c r="CG63" s="68">
        <f t="shared" si="81"/>
        <v>0</v>
      </c>
      <c r="CH63" s="68">
        <f t="shared" si="82"/>
        <v>0</v>
      </c>
      <c r="CI63" s="68">
        <f t="shared" si="83"/>
        <v>0</v>
      </c>
      <c r="CJ63" s="69">
        <f t="shared" si="84"/>
        <v>0</v>
      </c>
      <c r="CM63" s="67">
        <f t="shared" si="44"/>
        <v>234</v>
      </c>
      <c r="CN63" s="68">
        <f t="shared" si="49"/>
        <v>246</v>
      </c>
      <c r="CO63" s="68">
        <f t="shared" si="50"/>
        <v>232.40000000000003</v>
      </c>
      <c r="CP63" s="68">
        <f t="shared" si="51"/>
        <v>502.59999999999997</v>
      </c>
      <c r="CQ63" s="68">
        <f t="shared" si="52"/>
        <v>445.20000000000005</v>
      </c>
      <c r="CR63" s="68">
        <f t="shared" si="53"/>
        <v>230.29999999999998</v>
      </c>
      <c r="CS63" s="69">
        <f t="shared" si="54"/>
        <v>204.5</v>
      </c>
      <c r="CU63" s="511">
        <f>SUM(SUMIF($AZ$8:$BF$8, {"NON";"NEUT"}, AZ63:BF63))/config!$AC$16</f>
        <v>7.6</v>
      </c>
      <c r="CV63" s="512">
        <f t="shared" si="45"/>
        <v>0.54166666666666685</v>
      </c>
      <c r="CY63" s="67">
        <f>SUM(C67*$CY$108, C174*$CY$109, C281*$CY$110, C388*$CY$111, C495*$CY$112, C602*$CY$113, C709*$CY$114)/config!$AC$16</f>
        <v>0.4</v>
      </c>
      <c r="CZ63" s="68">
        <f>SUM(SUM(D67:E67)*$CY$108, SUM(D174:E174)*$CY$109, SUM(D281:E281)*$CY$110, SUM(D388:E388)*$CY$111, SUM(D495:E495)*$CY$112, SUM(D602:E602)*$CY$113, SUM(D709:E709)*$CY$114)/config!$AC$16</f>
        <v>6.4</v>
      </c>
      <c r="DA63" s="68">
        <f>SUM(SUM(F67:G67)*$CY$108, SUM(F174:G174)*$CY$109, SUM(F281:G281)*$CY$110, SUM(F388:G388)*$CY$111, SUM(F495:G495)*$CY$112, SUM(F602:G602)*$CY$113, SUM(F709:G709)*$CY$114)/config!$AC$16</f>
        <v>0.8</v>
      </c>
      <c r="DB63" s="68">
        <f>SUM(H67*$CY$108, H174*$CY$109, H281*$CY$110, H388*$CY$111, H495*$CY$112, H602*$CY$113, H709*$CY$114)/config!$AC$16</f>
        <v>0</v>
      </c>
      <c r="DC63" s="69">
        <f>SUM(SUM(I67:L67)*$CY$108, SUM(I174:L174)*$CY$109, SUM(I281:L281)*$CY$110, SUM(I388:L388)*$CY$111, SUM(I495:L495)*$CY$112, SUM(I602:L602)*$CY$113, SUM(I709:L709)*$CY$114)/config!$AC$16</f>
        <v>0</v>
      </c>
    </row>
    <row r="64" spans="1:107" ht="15" x14ac:dyDescent="0.25">
      <c r="A64" s="440" t="s">
        <v>97</v>
      </c>
      <c r="B64" s="642">
        <v>7</v>
      </c>
      <c r="C64" s="184">
        <v>0</v>
      </c>
      <c r="D64" s="184">
        <v>6</v>
      </c>
      <c r="E64" s="184">
        <v>0</v>
      </c>
      <c r="F64" s="184">
        <v>1</v>
      </c>
      <c r="G64" s="184">
        <v>0</v>
      </c>
      <c r="H64" s="184">
        <v>0</v>
      </c>
      <c r="I64" s="184">
        <v>0</v>
      </c>
      <c r="J64" s="184">
        <v>0</v>
      </c>
      <c r="K64" s="184">
        <v>0</v>
      </c>
      <c r="L64" s="184">
        <v>0</v>
      </c>
      <c r="M64" s="654" t="s">
        <v>24</v>
      </c>
      <c r="N64" s="670" t="s">
        <v>97</v>
      </c>
      <c r="O64" s="642">
        <v>0</v>
      </c>
      <c r="P64" s="184">
        <v>1</v>
      </c>
      <c r="Q64" s="184">
        <v>0</v>
      </c>
      <c r="R64" s="184">
        <v>0</v>
      </c>
      <c r="S64" s="184">
        <v>2</v>
      </c>
      <c r="T64" s="184">
        <v>1</v>
      </c>
      <c r="U64" s="184">
        <v>0</v>
      </c>
      <c r="V64" s="184">
        <v>2</v>
      </c>
      <c r="W64" s="184">
        <v>1</v>
      </c>
      <c r="X64" s="184">
        <v>0</v>
      </c>
      <c r="Y64" s="184">
        <v>0</v>
      </c>
      <c r="Z64" s="184">
        <v>0</v>
      </c>
      <c r="AA64" s="184">
        <v>0</v>
      </c>
      <c r="AB64" s="184">
        <v>0</v>
      </c>
      <c r="AC64" s="185">
        <v>32.799999999999997</v>
      </c>
      <c r="AD64" s="185" t="s">
        <v>24</v>
      </c>
      <c r="AE64" s="184">
        <v>0</v>
      </c>
      <c r="AF64" s="185">
        <v>0</v>
      </c>
      <c r="AG64" s="184">
        <v>0</v>
      </c>
      <c r="AH64" s="185">
        <v>0</v>
      </c>
      <c r="AI64" s="184">
        <v>0</v>
      </c>
      <c r="AJ64" s="643">
        <v>0</v>
      </c>
      <c r="AP64" s="401">
        <f t="shared" si="40"/>
        <v>4</v>
      </c>
      <c r="AR64" s="56">
        <f t="shared" si="41"/>
        <v>0.55208333333333348</v>
      </c>
      <c r="AS64" s="67">
        <f>SUM(C68,C175,C282,C389,C496,C603,C710)/config!$AC$13</f>
        <v>0.14285714285714285</v>
      </c>
      <c r="AT64" s="68">
        <f>SUM(D68:E68,D175:E175,D282:E282,D389:E389,D496:E496,D603:E603,D710:E710)/config!$AC$13</f>
        <v>6.1428571428571432</v>
      </c>
      <c r="AU64" s="68">
        <f>SUM(F68:G68,F175:G175,F282:G282,F389:G389,F496:G496,F603:G603,F710:G710)/config!$AC$13</f>
        <v>0.5714285714285714</v>
      </c>
      <c r="AV64" s="68">
        <f>SUM(H68,H175,H282,H389,H496,H603,H710)/config!$AC$13</f>
        <v>0</v>
      </c>
      <c r="AW64" s="69">
        <f>SUM(I68:L68,I175:L175,I282:L282,I389:L389,I496:L496,I603:L603,I710:L710)/config!$AC$13</f>
        <v>0</v>
      </c>
      <c r="AY64" s="56">
        <f t="shared" si="42"/>
        <v>0.55208333333333348</v>
      </c>
      <c r="AZ64" s="70">
        <f t="shared" si="55"/>
        <v>8</v>
      </c>
      <c r="BA64" s="71">
        <f t="shared" si="56"/>
        <v>7</v>
      </c>
      <c r="BB64" s="71">
        <f t="shared" si="57"/>
        <v>7</v>
      </c>
      <c r="BC64" s="71">
        <f t="shared" si="58"/>
        <v>7</v>
      </c>
      <c r="BD64" s="71">
        <f t="shared" si="59"/>
        <v>3</v>
      </c>
      <c r="BE64" s="71">
        <f t="shared" si="60"/>
        <v>9</v>
      </c>
      <c r="BF64" s="72">
        <f t="shared" si="61"/>
        <v>7</v>
      </c>
      <c r="BG64" s="45"/>
      <c r="BH64" s="56">
        <f t="shared" si="62"/>
        <v>0.55208333333333348</v>
      </c>
      <c r="BI64" s="67">
        <f t="shared" si="63"/>
        <v>40.1</v>
      </c>
      <c r="BJ64" s="68">
        <f t="shared" si="64"/>
        <v>40.5</v>
      </c>
      <c r="BK64" s="68">
        <f t="shared" si="65"/>
        <v>34</v>
      </c>
      <c r="BL64" s="68">
        <f t="shared" si="66"/>
        <v>41.4</v>
      </c>
      <c r="BM64" s="68">
        <f t="shared" si="67"/>
        <v>49.1</v>
      </c>
      <c r="BN64" s="68">
        <f t="shared" si="68"/>
        <v>41.7</v>
      </c>
      <c r="BO64" s="69">
        <f t="shared" si="69"/>
        <v>41.6</v>
      </c>
      <c r="BP64" s="63"/>
      <c r="BQ64" s="64">
        <f t="shared" si="70"/>
        <v>0.55208333333333348</v>
      </c>
      <c r="BR64" s="67" t="str">
        <f t="shared" si="71"/>
        <v/>
      </c>
      <c r="BS64" s="68" t="str">
        <f t="shared" si="72"/>
        <v/>
      </c>
      <c r="BT64" s="68" t="str">
        <f t="shared" si="73"/>
        <v/>
      </c>
      <c r="BU64" s="68" t="str">
        <f t="shared" si="74"/>
        <v/>
      </c>
      <c r="BV64" s="68" t="str">
        <f t="shared" si="75"/>
        <v/>
      </c>
      <c r="BW64" s="68" t="str">
        <f t="shared" si="76"/>
        <v/>
      </c>
      <c r="BX64" s="69" t="str">
        <f t="shared" si="77"/>
        <v/>
      </c>
      <c r="BY64" s="65"/>
      <c r="BZ64" s="66">
        <f t="shared" si="43"/>
        <v>41.2</v>
      </c>
      <c r="CA64" s="414" t="e">
        <f t="shared" si="31"/>
        <v>#N/A</v>
      </c>
      <c r="CB64" s="416">
        <f t="shared" si="48"/>
        <v>60</v>
      </c>
      <c r="CC64" s="65"/>
      <c r="CD64" s="67">
        <f t="shared" si="78"/>
        <v>0</v>
      </c>
      <c r="CE64" s="68">
        <f t="shared" si="79"/>
        <v>0</v>
      </c>
      <c r="CF64" s="68">
        <f t="shared" si="80"/>
        <v>0</v>
      </c>
      <c r="CG64" s="68">
        <f t="shared" si="81"/>
        <v>0</v>
      </c>
      <c r="CH64" s="68">
        <f t="shared" si="82"/>
        <v>0</v>
      </c>
      <c r="CI64" s="68">
        <f t="shared" si="83"/>
        <v>0</v>
      </c>
      <c r="CJ64" s="69">
        <f t="shared" si="84"/>
        <v>0</v>
      </c>
      <c r="CM64" s="67">
        <f t="shared" si="44"/>
        <v>320.8</v>
      </c>
      <c r="CN64" s="68">
        <f t="shared" si="49"/>
        <v>283.5</v>
      </c>
      <c r="CO64" s="68">
        <f t="shared" si="50"/>
        <v>238</v>
      </c>
      <c r="CP64" s="68">
        <f t="shared" si="51"/>
        <v>289.8</v>
      </c>
      <c r="CQ64" s="68">
        <f t="shared" si="52"/>
        <v>147.30000000000001</v>
      </c>
      <c r="CR64" s="68">
        <f t="shared" si="53"/>
        <v>375.3</v>
      </c>
      <c r="CS64" s="69">
        <f t="shared" si="54"/>
        <v>291.2</v>
      </c>
      <c r="CU64" s="511">
        <f>SUM(SUMIF($AZ$8:$BF$8, {"NON";"NEUT"}, AZ64:BF64))/config!$AC$16</f>
        <v>7.2</v>
      </c>
      <c r="CV64" s="512">
        <f t="shared" si="45"/>
        <v>0.55208333333333348</v>
      </c>
      <c r="CY64" s="67">
        <f>SUM(C68*$CY$108, C175*$CY$109, C282*$CY$110, C389*$CY$111, C496*$CY$112, C603*$CY$113, C710*$CY$114)/config!$AC$16</f>
        <v>0.2</v>
      </c>
      <c r="CZ64" s="68">
        <f>SUM(SUM(D68:E68)*$CY$108, SUM(D175:E175)*$CY$109, SUM(D282:E282)*$CY$110, SUM(D389:E389)*$CY$111, SUM(D496:E496)*$CY$112, SUM(D603:E603)*$CY$113, SUM(D710:E710)*$CY$114)/config!$AC$16</f>
        <v>6.4</v>
      </c>
      <c r="DA64" s="68">
        <f>SUM(SUM(F68:G68)*$CY$108, SUM(F175:G175)*$CY$109, SUM(F282:G282)*$CY$110, SUM(F389:G389)*$CY$111, SUM(F496:G496)*$CY$112, SUM(F603:G603)*$CY$113, SUM(F710:G710)*$CY$114)/config!$AC$16</f>
        <v>0.6</v>
      </c>
      <c r="DB64" s="68">
        <f>SUM(H68*$CY$108, H175*$CY$109, H282*$CY$110, H389*$CY$111, H496*$CY$112, H603*$CY$113, H710*$CY$114)/config!$AC$16</f>
        <v>0</v>
      </c>
      <c r="DC64" s="69">
        <f>SUM(SUM(I68:L68)*$CY$108, SUM(I175:L175)*$CY$109, SUM(I282:L282)*$CY$110, SUM(I389:L389)*$CY$111, SUM(I496:L496)*$CY$112, SUM(I603:L603)*$CY$113, SUM(I710:L710)*$CY$114)/config!$AC$16</f>
        <v>0</v>
      </c>
    </row>
    <row r="65" spans="1:107" ht="15" x14ac:dyDescent="0.25">
      <c r="A65" s="440" t="s">
        <v>98</v>
      </c>
      <c r="B65" s="642">
        <v>7</v>
      </c>
      <c r="C65" s="184">
        <v>0</v>
      </c>
      <c r="D65" s="184">
        <v>6</v>
      </c>
      <c r="E65" s="184">
        <v>0</v>
      </c>
      <c r="F65" s="184">
        <v>1</v>
      </c>
      <c r="G65" s="184">
        <v>0</v>
      </c>
      <c r="H65" s="184">
        <v>0</v>
      </c>
      <c r="I65" s="184">
        <v>0</v>
      </c>
      <c r="J65" s="184">
        <v>0</v>
      </c>
      <c r="K65" s="184">
        <v>0</v>
      </c>
      <c r="L65" s="184">
        <v>0</v>
      </c>
      <c r="M65" s="654" t="s">
        <v>24</v>
      </c>
      <c r="N65" s="670" t="s">
        <v>98</v>
      </c>
      <c r="O65" s="642">
        <v>0</v>
      </c>
      <c r="P65" s="184">
        <v>0</v>
      </c>
      <c r="Q65" s="184">
        <v>0</v>
      </c>
      <c r="R65" s="184">
        <v>0</v>
      </c>
      <c r="S65" s="184">
        <v>0</v>
      </c>
      <c r="T65" s="184">
        <v>0</v>
      </c>
      <c r="U65" s="184">
        <v>2</v>
      </c>
      <c r="V65" s="184">
        <v>1</v>
      </c>
      <c r="W65" s="184">
        <v>3</v>
      </c>
      <c r="X65" s="184">
        <v>1</v>
      </c>
      <c r="Y65" s="184">
        <v>0</v>
      </c>
      <c r="Z65" s="184">
        <v>0</v>
      </c>
      <c r="AA65" s="184">
        <v>0</v>
      </c>
      <c r="AB65" s="184">
        <v>0</v>
      </c>
      <c r="AC65" s="185">
        <v>45.4</v>
      </c>
      <c r="AD65" s="185" t="s">
        <v>24</v>
      </c>
      <c r="AE65" s="184">
        <v>0</v>
      </c>
      <c r="AF65" s="185">
        <v>0</v>
      </c>
      <c r="AG65" s="184">
        <v>0</v>
      </c>
      <c r="AH65" s="185">
        <v>0</v>
      </c>
      <c r="AI65" s="184">
        <v>0</v>
      </c>
      <c r="AJ65" s="643">
        <v>0</v>
      </c>
      <c r="AP65" s="401">
        <f t="shared" si="40"/>
        <v>6</v>
      </c>
      <c r="AR65" s="56">
        <f t="shared" si="41"/>
        <v>0.56250000000000011</v>
      </c>
      <c r="AS65" s="67">
        <f>SUM(C69,C176,C283,C390,C497,C604,C711)/config!$AC$13</f>
        <v>0.14285714285714285</v>
      </c>
      <c r="AT65" s="68">
        <f>SUM(D69:E69,D176:E176,D283:E283,D390:E390,D497:E497,D604:E604,D711:E711)/config!$AC$13</f>
        <v>8.5714285714285712</v>
      </c>
      <c r="AU65" s="68">
        <f>SUM(F69:G69,F176:G176,F283:G283,F390:G390,F497:G497,F604:G604,F711:G711)/config!$AC$13</f>
        <v>0.8571428571428571</v>
      </c>
      <c r="AV65" s="68">
        <f>SUM(H69,H176,H283,H390,H497,H604,H711)/config!$AC$13</f>
        <v>0</v>
      </c>
      <c r="AW65" s="69">
        <f>SUM(I69:L69,I176:L176,I283:L283,I390:L390,I497:L497,I604:L604,I711:L711)/config!$AC$13</f>
        <v>0</v>
      </c>
      <c r="AY65" s="56">
        <f t="shared" si="42"/>
        <v>0.56250000000000011</v>
      </c>
      <c r="AZ65" s="70">
        <f t="shared" si="55"/>
        <v>10</v>
      </c>
      <c r="BA65" s="71">
        <f t="shared" si="56"/>
        <v>10</v>
      </c>
      <c r="BB65" s="71">
        <f t="shared" si="57"/>
        <v>5</v>
      </c>
      <c r="BC65" s="71">
        <f t="shared" si="58"/>
        <v>13</v>
      </c>
      <c r="BD65" s="71">
        <f t="shared" si="59"/>
        <v>11</v>
      </c>
      <c r="BE65" s="71">
        <f t="shared" si="60"/>
        <v>9</v>
      </c>
      <c r="BF65" s="72">
        <f t="shared" si="61"/>
        <v>9</v>
      </c>
      <c r="BG65" s="45"/>
      <c r="BH65" s="56">
        <f t="shared" si="62"/>
        <v>0.56250000000000011</v>
      </c>
      <c r="BI65" s="67">
        <f t="shared" si="63"/>
        <v>42.1</v>
      </c>
      <c r="BJ65" s="68">
        <f t="shared" si="64"/>
        <v>42.7</v>
      </c>
      <c r="BK65" s="68">
        <f t="shared" si="65"/>
        <v>40.700000000000003</v>
      </c>
      <c r="BL65" s="68">
        <f t="shared" si="66"/>
        <v>39.5</v>
      </c>
      <c r="BM65" s="68">
        <f t="shared" si="67"/>
        <v>36.299999999999997</v>
      </c>
      <c r="BN65" s="68">
        <f t="shared" si="68"/>
        <v>39.299999999999997</v>
      </c>
      <c r="BO65" s="69">
        <f t="shared" si="69"/>
        <v>38.700000000000003</v>
      </c>
      <c r="BP65" s="63"/>
      <c r="BQ65" s="64">
        <f t="shared" si="70"/>
        <v>0.56250000000000011</v>
      </c>
      <c r="BR65" s="67" t="str">
        <f t="shared" si="71"/>
        <v/>
      </c>
      <c r="BS65" s="68" t="str">
        <f t="shared" si="72"/>
        <v/>
      </c>
      <c r="BT65" s="68" t="str">
        <f t="shared" si="73"/>
        <v/>
      </c>
      <c r="BU65" s="68">
        <f t="shared" si="74"/>
        <v>44.8</v>
      </c>
      <c r="BV65" s="68">
        <f t="shared" si="75"/>
        <v>47.7</v>
      </c>
      <c r="BW65" s="68" t="str">
        <f t="shared" si="76"/>
        <v/>
      </c>
      <c r="BX65" s="69" t="str">
        <f t="shared" si="77"/>
        <v/>
      </c>
      <c r="BY65" s="65"/>
      <c r="BZ65" s="66">
        <f t="shared" si="43"/>
        <v>39.9</v>
      </c>
      <c r="CA65" s="414">
        <f t="shared" si="31"/>
        <v>46.25</v>
      </c>
      <c r="CB65" s="416">
        <f t="shared" si="48"/>
        <v>60</v>
      </c>
      <c r="CC65" s="65"/>
      <c r="CD65" s="67">
        <f t="shared" si="78"/>
        <v>0</v>
      </c>
      <c r="CE65" s="68">
        <f t="shared" si="79"/>
        <v>0</v>
      </c>
      <c r="CF65" s="68">
        <f t="shared" si="80"/>
        <v>0</v>
      </c>
      <c r="CG65" s="68">
        <f t="shared" si="81"/>
        <v>0</v>
      </c>
      <c r="CH65" s="68">
        <f t="shared" si="82"/>
        <v>0</v>
      </c>
      <c r="CI65" s="68">
        <f t="shared" si="83"/>
        <v>0</v>
      </c>
      <c r="CJ65" s="69">
        <f t="shared" si="84"/>
        <v>0</v>
      </c>
      <c r="CM65" s="67">
        <f t="shared" si="44"/>
        <v>421</v>
      </c>
      <c r="CN65" s="68">
        <f t="shared" si="49"/>
        <v>427</v>
      </c>
      <c r="CO65" s="68">
        <f t="shared" si="50"/>
        <v>203.5</v>
      </c>
      <c r="CP65" s="68">
        <f t="shared" si="51"/>
        <v>513.5</v>
      </c>
      <c r="CQ65" s="68">
        <f t="shared" si="52"/>
        <v>399.29999999999995</v>
      </c>
      <c r="CR65" s="68">
        <f t="shared" si="53"/>
        <v>353.7</v>
      </c>
      <c r="CS65" s="69">
        <f t="shared" si="54"/>
        <v>348.3</v>
      </c>
      <c r="CU65" s="511">
        <f>SUM(SUMIF($AZ$8:$BF$8, {"NON";"NEUT"}, AZ65:BF65))/config!$AC$16</f>
        <v>9.4</v>
      </c>
      <c r="CV65" s="512">
        <f t="shared" si="45"/>
        <v>0.56250000000000011</v>
      </c>
      <c r="CY65" s="67">
        <f>SUM(C69*$CY$108, C176*$CY$109, C283*$CY$110, C390*$CY$111, C497*$CY$112, C604*$CY$113, C711*$CY$114)/config!$AC$16</f>
        <v>0.2</v>
      </c>
      <c r="CZ65" s="68">
        <f>SUM(SUM(D69:E69)*$CY$108, SUM(D176:E176)*$CY$109, SUM(D283:E283)*$CY$110, SUM(D390:E390)*$CY$111, SUM(D497:E497)*$CY$112, SUM(D604:E604)*$CY$113, SUM(D711:E711)*$CY$114)/config!$AC$16</f>
        <v>8.4</v>
      </c>
      <c r="DA65" s="68">
        <f>SUM(SUM(F69:G69)*$CY$108, SUM(F176:G176)*$CY$109, SUM(F283:G283)*$CY$110, SUM(F390:G390)*$CY$111, SUM(F497:G497)*$CY$112, SUM(F604:G604)*$CY$113, SUM(F711:G711)*$CY$114)/config!$AC$16</f>
        <v>0.8</v>
      </c>
      <c r="DB65" s="68">
        <f>SUM(H69*$CY$108, H176*$CY$109, H283*$CY$110, H390*$CY$111, H497*$CY$112, H604*$CY$113, H711*$CY$114)/config!$AC$16</f>
        <v>0</v>
      </c>
      <c r="DC65" s="69">
        <f>SUM(SUM(I69:L69)*$CY$108, SUM(I176:L176)*$CY$109, SUM(I283:L283)*$CY$110, SUM(I390:L390)*$CY$111, SUM(I497:L497)*$CY$112, SUM(I604:L604)*$CY$113, SUM(I711:L711)*$CY$114)/config!$AC$16</f>
        <v>0</v>
      </c>
    </row>
    <row r="66" spans="1:107" ht="15" x14ac:dyDescent="0.25">
      <c r="A66" s="440" t="s">
        <v>99</v>
      </c>
      <c r="B66" s="642">
        <v>7</v>
      </c>
      <c r="C66" s="184">
        <v>0</v>
      </c>
      <c r="D66" s="184">
        <v>6</v>
      </c>
      <c r="E66" s="184">
        <v>0</v>
      </c>
      <c r="F66" s="184">
        <v>1</v>
      </c>
      <c r="G66" s="184">
        <v>0</v>
      </c>
      <c r="H66" s="184">
        <v>0</v>
      </c>
      <c r="I66" s="184">
        <v>0</v>
      </c>
      <c r="J66" s="184">
        <v>0</v>
      </c>
      <c r="K66" s="184">
        <v>0</v>
      </c>
      <c r="L66" s="184">
        <v>0</v>
      </c>
      <c r="M66" s="654" t="s">
        <v>24</v>
      </c>
      <c r="N66" s="670" t="s">
        <v>99</v>
      </c>
      <c r="O66" s="642">
        <v>0</v>
      </c>
      <c r="P66" s="184">
        <v>0</v>
      </c>
      <c r="Q66" s="184">
        <v>0</v>
      </c>
      <c r="R66" s="184">
        <v>0</v>
      </c>
      <c r="S66" s="184">
        <v>0</v>
      </c>
      <c r="T66" s="184">
        <v>0</v>
      </c>
      <c r="U66" s="184">
        <v>4</v>
      </c>
      <c r="V66" s="184">
        <v>3</v>
      </c>
      <c r="W66" s="184">
        <v>0</v>
      </c>
      <c r="X66" s="184">
        <v>0</v>
      </c>
      <c r="Y66" s="184">
        <v>0</v>
      </c>
      <c r="Z66" s="184">
        <v>0</v>
      </c>
      <c r="AA66" s="184">
        <v>0</v>
      </c>
      <c r="AB66" s="184">
        <v>0</v>
      </c>
      <c r="AC66" s="185">
        <v>38.5</v>
      </c>
      <c r="AD66" s="185" t="s">
        <v>24</v>
      </c>
      <c r="AE66" s="184">
        <v>0</v>
      </c>
      <c r="AF66" s="185">
        <v>0</v>
      </c>
      <c r="AG66" s="184">
        <v>0</v>
      </c>
      <c r="AH66" s="185">
        <v>0</v>
      </c>
      <c r="AI66" s="184">
        <v>0</v>
      </c>
      <c r="AJ66" s="643">
        <v>0</v>
      </c>
      <c r="AP66" s="401">
        <f t="shared" si="40"/>
        <v>5</v>
      </c>
      <c r="AR66" s="56">
        <f t="shared" si="41"/>
        <v>0.57291666666666674</v>
      </c>
      <c r="AS66" s="67">
        <f>SUM(C70,C177,C284,C391,C498,C605,C712)/config!$AC$13</f>
        <v>0</v>
      </c>
      <c r="AT66" s="68">
        <f>SUM(D70:E70,D177:E177,D284:E284,D391:E391,D498:E498,D605:E605,D712:E712)/config!$AC$13</f>
        <v>8</v>
      </c>
      <c r="AU66" s="68">
        <f>SUM(F70:G70,F177:G177,F284:G284,F391:G391,F498:G498,F605:G605,F712:G712)/config!$AC$13</f>
        <v>0.7142857142857143</v>
      </c>
      <c r="AV66" s="68">
        <f>SUM(H70,H177,H284,H391,H498,H605,H712)/config!$AC$13</f>
        <v>0</v>
      </c>
      <c r="AW66" s="69">
        <f>SUM(I70:L70,I177:L177,I284:L284,I391:L391,I498:L498,I605:L605,I712:L712)/config!$AC$13</f>
        <v>0.14285714285714285</v>
      </c>
      <c r="AY66" s="56">
        <f t="shared" si="42"/>
        <v>0.57291666666666674</v>
      </c>
      <c r="AZ66" s="70">
        <f t="shared" si="55"/>
        <v>2</v>
      </c>
      <c r="BA66" s="71">
        <f t="shared" si="56"/>
        <v>9</v>
      </c>
      <c r="BB66" s="71">
        <f t="shared" si="57"/>
        <v>3</v>
      </c>
      <c r="BC66" s="71">
        <f t="shared" si="58"/>
        <v>13</v>
      </c>
      <c r="BD66" s="71">
        <f t="shared" si="59"/>
        <v>15</v>
      </c>
      <c r="BE66" s="71">
        <f t="shared" si="60"/>
        <v>11</v>
      </c>
      <c r="BF66" s="72">
        <f t="shared" si="61"/>
        <v>9</v>
      </c>
      <c r="BG66" s="45"/>
      <c r="BH66" s="56">
        <f t="shared" si="62"/>
        <v>0.57291666666666674</v>
      </c>
      <c r="BI66" s="67">
        <f t="shared" si="63"/>
        <v>33.6</v>
      </c>
      <c r="BJ66" s="68">
        <f t="shared" si="64"/>
        <v>34.4</v>
      </c>
      <c r="BK66" s="68">
        <f t="shared" si="65"/>
        <v>43</v>
      </c>
      <c r="BL66" s="68">
        <f t="shared" si="66"/>
        <v>35.700000000000003</v>
      </c>
      <c r="BM66" s="68">
        <f t="shared" si="67"/>
        <v>41.2</v>
      </c>
      <c r="BN66" s="68">
        <f t="shared" si="68"/>
        <v>37.799999999999997</v>
      </c>
      <c r="BO66" s="69">
        <f t="shared" si="69"/>
        <v>38.4</v>
      </c>
      <c r="BP66" s="63"/>
      <c r="BQ66" s="64">
        <f t="shared" si="70"/>
        <v>0.57291666666666674</v>
      </c>
      <c r="BR66" s="67" t="str">
        <f t="shared" si="71"/>
        <v/>
      </c>
      <c r="BS66" s="68" t="str">
        <f t="shared" si="72"/>
        <v/>
      </c>
      <c r="BT66" s="68" t="str">
        <f t="shared" si="73"/>
        <v/>
      </c>
      <c r="BU66" s="68">
        <f t="shared" si="74"/>
        <v>40.9</v>
      </c>
      <c r="BV66" s="68">
        <f t="shared" si="75"/>
        <v>48.4</v>
      </c>
      <c r="BW66" s="68">
        <f t="shared" si="76"/>
        <v>46.8</v>
      </c>
      <c r="BX66" s="69" t="str">
        <f t="shared" si="77"/>
        <v/>
      </c>
      <c r="BY66" s="65"/>
      <c r="BZ66" s="66">
        <f t="shared" si="43"/>
        <v>37.728571428571421</v>
      </c>
      <c r="CA66" s="414">
        <f t="shared" si="31"/>
        <v>45.366666666666667</v>
      </c>
      <c r="CB66" s="416">
        <f t="shared" si="48"/>
        <v>60</v>
      </c>
      <c r="CC66" s="65"/>
      <c r="CD66" s="67">
        <f t="shared" si="78"/>
        <v>0</v>
      </c>
      <c r="CE66" s="68">
        <f t="shared" si="79"/>
        <v>0</v>
      </c>
      <c r="CF66" s="68">
        <f t="shared" si="80"/>
        <v>0</v>
      </c>
      <c r="CG66" s="68">
        <f t="shared" si="81"/>
        <v>0</v>
      </c>
      <c r="CH66" s="68">
        <f t="shared" si="82"/>
        <v>0</v>
      </c>
      <c r="CI66" s="68">
        <f t="shared" si="83"/>
        <v>0</v>
      </c>
      <c r="CJ66" s="69">
        <f t="shared" si="84"/>
        <v>0</v>
      </c>
      <c r="CM66" s="67">
        <f t="shared" si="44"/>
        <v>67.2</v>
      </c>
      <c r="CN66" s="68">
        <f t="shared" si="49"/>
        <v>309.59999999999997</v>
      </c>
      <c r="CO66" s="68">
        <f t="shared" si="50"/>
        <v>129</v>
      </c>
      <c r="CP66" s="68">
        <f t="shared" si="51"/>
        <v>464.1</v>
      </c>
      <c r="CQ66" s="68">
        <f t="shared" si="52"/>
        <v>618</v>
      </c>
      <c r="CR66" s="68">
        <f t="shared" si="53"/>
        <v>415.79999999999995</v>
      </c>
      <c r="CS66" s="69">
        <f t="shared" si="54"/>
        <v>345.59999999999997</v>
      </c>
      <c r="CU66" s="511">
        <f>SUM(SUMIF($AZ$8:$BF$8, {"NON";"NEUT"}, AZ66:BF66))/config!$AC$16</f>
        <v>7.2</v>
      </c>
      <c r="CV66" s="512">
        <f t="shared" si="45"/>
        <v>0.57291666666666674</v>
      </c>
      <c r="CY66" s="67">
        <f>SUM(C70*$CY$108, C177*$CY$109, C284*$CY$110, C391*$CY$111, C498*$CY$112, C605*$CY$113, C712*$CY$114)/config!$AC$16</f>
        <v>0</v>
      </c>
      <c r="CZ66" s="68">
        <f>SUM(SUM(D70:E70)*$CY$108, SUM(D177:E177)*$CY$109, SUM(D284:E284)*$CY$110, SUM(D391:E391)*$CY$111, SUM(D498:E498)*$CY$112, SUM(D605:E605)*$CY$113, SUM(D712:E712)*$CY$114)/config!$AC$16</f>
        <v>6</v>
      </c>
      <c r="DA66" s="68">
        <f>SUM(SUM(F70:G70)*$CY$108, SUM(F177:G177)*$CY$109, SUM(F284:G284)*$CY$110, SUM(F391:G391)*$CY$111, SUM(F498:G498)*$CY$112, SUM(F605:G605)*$CY$113, SUM(F712:G712)*$CY$114)/config!$AC$16</f>
        <v>1</v>
      </c>
      <c r="DB66" s="68">
        <f>SUM(H70*$CY$108, H177*$CY$109, H284*$CY$110, H391*$CY$111, H498*$CY$112, H605*$CY$113, H712*$CY$114)/config!$AC$16</f>
        <v>0</v>
      </c>
      <c r="DC66" s="69">
        <f>SUM(SUM(I70:L70)*$CY$108, SUM(I177:L177)*$CY$109, SUM(I284:L284)*$CY$110, SUM(I391:L391)*$CY$111, SUM(I498:L498)*$CY$112, SUM(I605:L605)*$CY$113, SUM(I712:L712)*$CY$114)/config!$AC$16</f>
        <v>0.2</v>
      </c>
    </row>
    <row r="67" spans="1:107" ht="15" x14ac:dyDescent="0.25">
      <c r="A67" s="440" t="s">
        <v>60</v>
      </c>
      <c r="B67" s="642">
        <v>6</v>
      </c>
      <c r="C67" s="184">
        <v>0</v>
      </c>
      <c r="D67" s="184">
        <v>5</v>
      </c>
      <c r="E67" s="184">
        <v>1</v>
      </c>
      <c r="F67" s="184">
        <v>0</v>
      </c>
      <c r="G67" s="184">
        <v>0</v>
      </c>
      <c r="H67" s="184">
        <v>0</v>
      </c>
      <c r="I67" s="184">
        <v>0</v>
      </c>
      <c r="J67" s="184">
        <v>0</v>
      </c>
      <c r="K67" s="184">
        <v>0</v>
      </c>
      <c r="L67" s="184">
        <v>0</v>
      </c>
      <c r="M67" s="654" t="s">
        <v>24</v>
      </c>
      <c r="N67" s="670" t="s">
        <v>60</v>
      </c>
      <c r="O67" s="642">
        <v>0</v>
      </c>
      <c r="P67" s="184">
        <v>0</v>
      </c>
      <c r="Q67" s="184">
        <v>0</v>
      </c>
      <c r="R67" s="184">
        <v>0</v>
      </c>
      <c r="S67" s="184">
        <v>0</v>
      </c>
      <c r="T67" s="184">
        <v>2</v>
      </c>
      <c r="U67" s="184">
        <v>1</v>
      </c>
      <c r="V67" s="184">
        <v>2</v>
      </c>
      <c r="W67" s="184">
        <v>1</v>
      </c>
      <c r="X67" s="184">
        <v>0</v>
      </c>
      <c r="Y67" s="184">
        <v>0</v>
      </c>
      <c r="Z67" s="184">
        <v>0</v>
      </c>
      <c r="AA67" s="184">
        <v>0</v>
      </c>
      <c r="AB67" s="184">
        <v>0</v>
      </c>
      <c r="AC67" s="185">
        <v>39</v>
      </c>
      <c r="AD67" s="185" t="s">
        <v>24</v>
      </c>
      <c r="AE67" s="184">
        <v>0</v>
      </c>
      <c r="AF67" s="185">
        <v>0</v>
      </c>
      <c r="AG67" s="184">
        <v>0</v>
      </c>
      <c r="AH67" s="185">
        <v>0</v>
      </c>
      <c r="AI67" s="184">
        <v>0</v>
      </c>
      <c r="AJ67" s="643">
        <v>0</v>
      </c>
      <c r="AP67" s="401">
        <f t="shared" si="40"/>
        <v>4</v>
      </c>
      <c r="AR67" s="56">
        <f t="shared" si="41"/>
        <v>0.58333333333333337</v>
      </c>
      <c r="AS67" s="67">
        <f>SUM(C71,C178,C285,C392,C499,C606,C713)/config!$AC$13</f>
        <v>0.42857142857142855</v>
      </c>
      <c r="AT67" s="68">
        <f>SUM(D71:E71,D178:E178,D285:E285,D392:E392,D499:E499,D606:E606,D713:E713)/config!$AC$13</f>
        <v>8.2857142857142865</v>
      </c>
      <c r="AU67" s="68">
        <f>SUM(F71:G71,F178:G178,F285:G285,F392:G392,F499:G499,F606:G606,F713:G713)/config!$AC$13</f>
        <v>0.5714285714285714</v>
      </c>
      <c r="AV67" s="68">
        <f>SUM(H71,H178,H285,H392,H499,H606,H713)/config!$AC$13</f>
        <v>0</v>
      </c>
      <c r="AW67" s="69">
        <f>SUM(I71:L71,I178:L178,I285:L285,I392:L392,I499:L499,I606:L606,I713:L713)/config!$AC$13</f>
        <v>0</v>
      </c>
      <c r="AY67" s="56">
        <f t="shared" si="42"/>
        <v>0.58333333333333337</v>
      </c>
      <c r="AZ67" s="70">
        <f t="shared" si="55"/>
        <v>9</v>
      </c>
      <c r="BA67" s="71">
        <f t="shared" si="56"/>
        <v>12</v>
      </c>
      <c r="BB67" s="71">
        <f t="shared" si="57"/>
        <v>8</v>
      </c>
      <c r="BC67" s="71">
        <f t="shared" si="58"/>
        <v>7</v>
      </c>
      <c r="BD67" s="71">
        <f t="shared" si="59"/>
        <v>7</v>
      </c>
      <c r="BE67" s="71">
        <f t="shared" si="60"/>
        <v>10</v>
      </c>
      <c r="BF67" s="72">
        <f t="shared" si="61"/>
        <v>12</v>
      </c>
      <c r="BG67" s="45"/>
      <c r="BH67" s="56">
        <f t="shared" si="62"/>
        <v>0.58333333333333337</v>
      </c>
      <c r="BI67" s="67">
        <f t="shared" si="63"/>
        <v>39.799999999999997</v>
      </c>
      <c r="BJ67" s="68">
        <f t="shared" si="64"/>
        <v>40.9</v>
      </c>
      <c r="BK67" s="68">
        <f t="shared" si="65"/>
        <v>37.700000000000003</v>
      </c>
      <c r="BL67" s="68">
        <f t="shared" si="66"/>
        <v>39.5</v>
      </c>
      <c r="BM67" s="68">
        <f t="shared" si="67"/>
        <v>38.200000000000003</v>
      </c>
      <c r="BN67" s="68">
        <f t="shared" si="68"/>
        <v>41</v>
      </c>
      <c r="BO67" s="69">
        <f t="shared" si="69"/>
        <v>37</v>
      </c>
      <c r="BP67" s="63"/>
      <c r="BQ67" s="64">
        <f t="shared" si="70"/>
        <v>0.58333333333333337</v>
      </c>
      <c r="BR67" s="67" t="str">
        <f t="shared" si="71"/>
        <v/>
      </c>
      <c r="BS67" s="68">
        <f t="shared" si="72"/>
        <v>47.7</v>
      </c>
      <c r="BT67" s="68" t="str">
        <f t="shared" si="73"/>
        <v/>
      </c>
      <c r="BU67" s="68" t="str">
        <f t="shared" si="74"/>
        <v/>
      </c>
      <c r="BV67" s="68" t="str">
        <f t="shared" si="75"/>
        <v/>
      </c>
      <c r="BW67" s="68" t="str">
        <f t="shared" si="76"/>
        <v/>
      </c>
      <c r="BX67" s="69">
        <f t="shared" si="77"/>
        <v>49.8</v>
      </c>
      <c r="BY67" s="65"/>
      <c r="BZ67" s="66">
        <f t="shared" si="43"/>
        <v>39.157142857142851</v>
      </c>
      <c r="CA67" s="414">
        <f t="shared" si="31"/>
        <v>48.75</v>
      </c>
      <c r="CB67" s="416">
        <f t="shared" si="48"/>
        <v>60</v>
      </c>
      <c r="CC67" s="65"/>
      <c r="CD67" s="67">
        <f t="shared" si="78"/>
        <v>0</v>
      </c>
      <c r="CE67" s="68">
        <f t="shared" si="79"/>
        <v>0</v>
      </c>
      <c r="CF67" s="68">
        <f t="shared" si="80"/>
        <v>0</v>
      </c>
      <c r="CG67" s="68">
        <f t="shared" si="81"/>
        <v>0</v>
      </c>
      <c r="CH67" s="68">
        <f t="shared" si="82"/>
        <v>0</v>
      </c>
      <c r="CI67" s="68">
        <f t="shared" si="83"/>
        <v>1</v>
      </c>
      <c r="CJ67" s="69">
        <f t="shared" si="84"/>
        <v>0</v>
      </c>
      <c r="CM67" s="67">
        <f t="shared" si="44"/>
        <v>358.2</v>
      </c>
      <c r="CN67" s="68">
        <f t="shared" si="49"/>
        <v>490.79999999999995</v>
      </c>
      <c r="CO67" s="68">
        <f t="shared" si="50"/>
        <v>301.60000000000002</v>
      </c>
      <c r="CP67" s="68">
        <f t="shared" si="51"/>
        <v>276.5</v>
      </c>
      <c r="CQ67" s="68">
        <f t="shared" si="52"/>
        <v>267.40000000000003</v>
      </c>
      <c r="CR67" s="68">
        <f t="shared" si="53"/>
        <v>410</v>
      </c>
      <c r="CS67" s="69">
        <f t="shared" si="54"/>
        <v>444</v>
      </c>
      <c r="CU67" s="511">
        <f>SUM(SUMIF($AZ$8:$BF$8, {"NON";"NEUT"}, AZ67:BF67))/config!$AC$16</f>
        <v>9.6</v>
      </c>
      <c r="CV67" s="512">
        <f t="shared" si="45"/>
        <v>0.58333333333333337</v>
      </c>
      <c r="CY67" s="67">
        <f>SUM(C71*$CY$108, C178*$CY$109, C285*$CY$110, C392*$CY$111, C499*$CY$112, C606*$CY$113, C713*$CY$114)/config!$AC$16</f>
        <v>0.6</v>
      </c>
      <c r="CZ67" s="68">
        <f>SUM(SUM(D71:E71)*$CY$108, SUM(D178:E178)*$CY$109, SUM(D285:E285)*$CY$110, SUM(D392:E392)*$CY$111, SUM(D499:E499)*$CY$112, SUM(D606:E606)*$CY$113, SUM(D713:E713)*$CY$114)/config!$AC$16</f>
        <v>8.1999999999999993</v>
      </c>
      <c r="DA67" s="68">
        <f>SUM(SUM(F71:G71)*$CY$108, SUM(F178:G178)*$CY$109, SUM(F285:G285)*$CY$110, SUM(F392:G392)*$CY$111, SUM(F499:G499)*$CY$112, SUM(F606:G606)*$CY$113, SUM(F713:G713)*$CY$114)/config!$AC$16</f>
        <v>0.8</v>
      </c>
      <c r="DB67" s="68">
        <f>SUM(H71*$CY$108, H178*$CY$109, H285*$CY$110, H392*$CY$111, H499*$CY$112, H606*$CY$113, H713*$CY$114)/config!$AC$16</f>
        <v>0</v>
      </c>
      <c r="DC67" s="69">
        <f>SUM(SUM(I71:L71)*$CY$108, SUM(I178:L178)*$CY$109, SUM(I285:L285)*$CY$110, SUM(I392:L392)*$CY$111, SUM(I499:L499)*$CY$112, SUM(I606:L606)*$CY$113, SUM(I713:L713)*$CY$114)/config!$AC$16</f>
        <v>0</v>
      </c>
    </row>
    <row r="68" spans="1:107" ht="15" x14ac:dyDescent="0.25">
      <c r="A68" s="440" t="s">
        <v>100</v>
      </c>
      <c r="B68" s="642">
        <v>8</v>
      </c>
      <c r="C68" s="184">
        <v>0</v>
      </c>
      <c r="D68" s="184">
        <v>7</v>
      </c>
      <c r="E68" s="184">
        <v>0</v>
      </c>
      <c r="F68" s="184">
        <v>1</v>
      </c>
      <c r="G68" s="184">
        <v>0</v>
      </c>
      <c r="H68" s="184">
        <v>0</v>
      </c>
      <c r="I68" s="184">
        <v>0</v>
      </c>
      <c r="J68" s="184">
        <v>0</v>
      </c>
      <c r="K68" s="184">
        <v>0</v>
      </c>
      <c r="L68" s="184">
        <v>0</v>
      </c>
      <c r="M68" s="654" t="s">
        <v>24</v>
      </c>
      <c r="N68" s="670" t="s">
        <v>100</v>
      </c>
      <c r="O68" s="642">
        <v>0</v>
      </c>
      <c r="P68" s="184">
        <v>0</v>
      </c>
      <c r="Q68" s="184">
        <v>0</v>
      </c>
      <c r="R68" s="184">
        <v>0</v>
      </c>
      <c r="S68" s="184">
        <v>0</v>
      </c>
      <c r="T68" s="184">
        <v>1</v>
      </c>
      <c r="U68" s="184">
        <v>4</v>
      </c>
      <c r="V68" s="184">
        <v>2</v>
      </c>
      <c r="W68" s="184">
        <v>1</v>
      </c>
      <c r="X68" s="184">
        <v>0</v>
      </c>
      <c r="Y68" s="184">
        <v>0</v>
      </c>
      <c r="Z68" s="184">
        <v>0</v>
      </c>
      <c r="AA68" s="184">
        <v>0</v>
      </c>
      <c r="AB68" s="184">
        <v>0</v>
      </c>
      <c r="AC68" s="185">
        <v>40.1</v>
      </c>
      <c r="AD68" s="185" t="s">
        <v>24</v>
      </c>
      <c r="AE68" s="184">
        <v>0</v>
      </c>
      <c r="AF68" s="185">
        <v>0</v>
      </c>
      <c r="AG68" s="184">
        <v>0</v>
      </c>
      <c r="AH68" s="185">
        <v>0</v>
      </c>
      <c r="AI68" s="184">
        <v>0</v>
      </c>
      <c r="AJ68" s="643">
        <v>0</v>
      </c>
      <c r="AP68" s="401">
        <f t="shared" si="40"/>
        <v>6</v>
      </c>
      <c r="AR68" s="56">
        <f t="shared" si="41"/>
        <v>0.59375</v>
      </c>
      <c r="AS68" s="67">
        <f>SUM(C72,C179,C286,C393,C500,C607,C714)/config!$AC$13</f>
        <v>0.2857142857142857</v>
      </c>
      <c r="AT68" s="68">
        <f>SUM(D72:E72,D179:E179,D286:E286,D393:E393,D500:E500,D607:E607,D714:E714)/config!$AC$13</f>
        <v>7.2857142857142856</v>
      </c>
      <c r="AU68" s="68">
        <f>SUM(F72:G72,F179:G179,F286:G286,F393:G393,F500:G500,F607:G607,F714:G714)/config!$AC$13</f>
        <v>0.8571428571428571</v>
      </c>
      <c r="AV68" s="68">
        <f>SUM(H72,H179,H286,H393,H500,H607,H714)/config!$AC$13</f>
        <v>0</v>
      </c>
      <c r="AW68" s="69">
        <f>SUM(I72:L72,I179:L179,I286:L286,I393:L393,I500:L500,I607:L607,I714:L714)/config!$AC$13</f>
        <v>0</v>
      </c>
      <c r="AY68" s="56">
        <f t="shared" si="42"/>
        <v>0.59375</v>
      </c>
      <c r="AZ68" s="70">
        <f t="shared" si="55"/>
        <v>12</v>
      </c>
      <c r="BA68" s="71">
        <f t="shared" si="56"/>
        <v>10</v>
      </c>
      <c r="BB68" s="71">
        <f t="shared" si="57"/>
        <v>7</v>
      </c>
      <c r="BC68" s="71">
        <f t="shared" si="58"/>
        <v>10</v>
      </c>
      <c r="BD68" s="71">
        <f t="shared" si="59"/>
        <v>5</v>
      </c>
      <c r="BE68" s="71">
        <f t="shared" si="60"/>
        <v>7</v>
      </c>
      <c r="BF68" s="72">
        <f t="shared" si="61"/>
        <v>8</v>
      </c>
      <c r="BG68" s="45"/>
      <c r="BH68" s="56">
        <f t="shared" si="62"/>
        <v>0.59375</v>
      </c>
      <c r="BI68" s="67">
        <f t="shared" si="63"/>
        <v>38.700000000000003</v>
      </c>
      <c r="BJ68" s="68">
        <f t="shared" si="64"/>
        <v>34.200000000000003</v>
      </c>
      <c r="BK68" s="68">
        <f t="shared" si="65"/>
        <v>39.1</v>
      </c>
      <c r="BL68" s="68">
        <f t="shared" si="66"/>
        <v>41</v>
      </c>
      <c r="BM68" s="68">
        <f t="shared" si="67"/>
        <v>40.700000000000003</v>
      </c>
      <c r="BN68" s="68">
        <f t="shared" si="68"/>
        <v>40.299999999999997</v>
      </c>
      <c r="BO68" s="69">
        <f t="shared" si="69"/>
        <v>43.3</v>
      </c>
      <c r="BP68" s="63"/>
      <c r="BQ68" s="64">
        <f t="shared" si="70"/>
        <v>0.59375</v>
      </c>
      <c r="BR68" s="67">
        <f t="shared" si="71"/>
        <v>50.1</v>
      </c>
      <c r="BS68" s="68" t="str">
        <f t="shared" si="72"/>
        <v/>
      </c>
      <c r="BT68" s="68" t="str">
        <f t="shared" si="73"/>
        <v/>
      </c>
      <c r="BU68" s="68" t="str">
        <f t="shared" si="74"/>
        <v/>
      </c>
      <c r="BV68" s="68" t="str">
        <f t="shared" si="75"/>
        <v/>
      </c>
      <c r="BW68" s="68" t="str">
        <f t="shared" si="76"/>
        <v/>
      </c>
      <c r="BX68" s="69" t="str">
        <f t="shared" si="77"/>
        <v/>
      </c>
      <c r="BY68" s="65"/>
      <c r="BZ68" s="66">
        <f t="shared" si="43"/>
        <v>39.614285714285714</v>
      </c>
      <c r="CA68" s="414">
        <f t="shared" si="31"/>
        <v>50.1</v>
      </c>
      <c r="CB68" s="416">
        <f t="shared" si="48"/>
        <v>60</v>
      </c>
      <c r="CC68" s="65"/>
      <c r="CD68" s="67">
        <f t="shared" si="78"/>
        <v>0</v>
      </c>
      <c r="CE68" s="68">
        <f t="shared" si="79"/>
        <v>0</v>
      </c>
      <c r="CF68" s="68">
        <f t="shared" si="80"/>
        <v>0</v>
      </c>
      <c r="CG68" s="68">
        <f t="shared" si="81"/>
        <v>1</v>
      </c>
      <c r="CH68" s="68">
        <f t="shared" si="82"/>
        <v>0</v>
      </c>
      <c r="CI68" s="68">
        <f t="shared" si="83"/>
        <v>0</v>
      </c>
      <c r="CJ68" s="69">
        <f t="shared" si="84"/>
        <v>0</v>
      </c>
      <c r="CM68" s="67">
        <f t="shared" si="44"/>
        <v>464.40000000000003</v>
      </c>
      <c r="CN68" s="68">
        <f t="shared" si="49"/>
        <v>342</v>
      </c>
      <c r="CO68" s="68">
        <f t="shared" si="50"/>
        <v>273.7</v>
      </c>
      <c r="CP68" s="68">
        <f t="shared" si="51"/>
        <v>410</v>
      </c>
      <c r="CQ68" s="68">
        <f t="shared" si="52"/>
        <v>203.5</v>
      </c>
      <c r="CR68" s="68">
        <f t="shared" si="53"/>
        <v>282.09999999999997</v>
      </c>
      <c r="CS68" s="69">
        <f t="shared" si="54"/>
        <v>346.4</v>
      </c>
      <c r="CU68" s="511">
        <f>SUM(SUMIF($AZ$8:$BF$8, {"NON";"NEUT"}, AZ68:BF68))/config!$AC$16</f>
        <v>9.4</v>
      </c>
      <c r="CV68" s="512">
        <f t="shared" si="45"/>
        <v>0.59375</v>
      </c>
      <c r="CY68" s="67">
        <f>SUM(C72*$CY$108, C179*$CY$109, C286*$CY$110, C393*$CY$111, C500*$CY$112, C607*$CY$113, C714*$CY$114)/config!$AC$16</f>
        <v>0.4</v>
      </c>
      <c r="CZ68" s="68">
        <f>SUM(SUM(D72:E72)*$CY$108, SUM(D179:E179)*$CY$109, SUM(D286:E286)*$CY$110, SUM(D393:E393)*$CY$111, SUM(D500:E500)*$CY$112, SUM(D607:E607)*$CY$113, SUM(D714:E714)*$CY$114)/config!$AC$16</f>
        <v>7.8</v>
      </c>
      <c r="DA68" s="68">
        <f>SUM(SUM(F72:G72)*$CY$108, SUM(F179:G179)*$CY$109, SUM(F286:G286)*$CY$110, SUM(F393:G393)*$CY$111, SUM(F500:G500)*$CY$112, SUM(F607:G607)*$CY$113, SUM(F714:G714)*$CY$114)/config!$AC$16</f>
        <v>1.2</v>
      </c>
      <c r="DB68" s="68">
        <f>SUM(H72*$CY$108, H179*$CY$109, H286*$CY$110, H393*$CY$111, H500*$CY$112, H607*$CY$113, H714*$CY$114)/config!$AC$16</f>
        <v>0</v>
      </c>
      <c r="DC68" s="69">
        <f>SUM(SUM(I72:L72)*$CY$108, SUM(I179:L179)*$CY$109, SUM(I286:L286)*$CY$110, SUM(I393:L393)*$CY$111, SUM(I500:L500)*$CY$112, SUM(I607:L607)*$CY$113, SUM(I714:L714)*$CY$114)/config!$AC$16</f>
        <v>0</v>
      </c>
    </row>
    <row r="69" spans="1:107" ht="15" x14ac:dyDescent="0.25">
      <c r="A69" s="440" t="s">
        <v>101</v>
      </c>
      <c r="B69" s="642">
        <v>10</v>
      </c>
      <c r="C69" s="184">
        <v>0</v>
      </c>
      <c r="D69" s="184">
        <v>9</v>
      </c>
      <c r="E69" s="184">
        <v>0</v>
      </c>
      <c r="F69" s="184">
        <v>1</v>
      </c>
      <c r="G69" s="184">
        <v>0</v>
      </c>
      <c r="H69" s="184">
        <v>0</v>
      </c>
      <c r="I69" s="184">
        <v>0</v>
      </c>
      <c r="J69" s="184">
        <v>0</v>
      </c>
      <c r="K69" s="184">
        <v>0</v>
      </c>
      <c r="L69" s="184">
        <v>0</v>
      </c>
      <c r="M69" s="654" t="s">
        <v>24</v>
      </c>
      <c r="N69" s="670" t="s">
        <v>101</v>
      </c>
      <c r="O69" s="642">
        <v>0</v>
      </c>
      <c r="P69" s="184">
        <v>0</v>
      </c>
      <c r="Q69" s="184">
        <v>0</v>
      </c>
      <c r="R69" s="184">
        <v>0</v>
      </c>
      <c r="S69" s="184">
        <v>0</v>
      </c>
      <c r="T69" s="184">
        <v>0</v>
      </c>
      <c r="U69" s="184">
        <v>4</v>
      </c>
      <c r="V69" s="184">
        <v>4</v>
      </c>
      <c r="W69" s="184">
        <v>1</v>
      </c>
      <c r="X69" s="184">
        <v>1</v>
      </c>
      <c r="Y69" s="184">
        <v>0</v>
      </c>
      <c r="Z69" s="184">
        <v>0</v>
      </c>
      <c r="AA69" s="184">
        <v>0</v>
      </c>
      <c r="AB69" s="184">
        <v>0</v>
      </c>
      <c r="AC69" s="185">
        <v>42.1</v>
      </c>
      <c r="AD69" s="185" t="s">
        <v>24</v>
      </c>
      <c r="AE69" s="184">
        <v>0</v>
      </c>
      <c r="AF69" s="185">
        <v>0</v>
      </c>
      <c r="AG69" s="184">
        <v>0</v>
      </c>
      <c r="AH69" s="185">
        <v>0</v>
      </c>
      <c r="AI69" s="184">
        <v>0</v>
      </c>
      <c r="AJ69" s="643">
        <v>0</v>
      </c>
      <c r="AP69" s="401">
        <f t="shared" si="40"/>
        <v>5</v>
      </c>
      <c r="AR69" s="56">
        <f t="shared" si="41"/>
        <v>0.60416666666666663</v>
      </c>
      <c r="AS69" s="67">
        <f>SUM(C73,C180,C287,C394,C501,C608,C715)/config!$AC$13</f>
        <v>0</v>
      </c>
      <c r="AT69" s="68">
        <f>SUM(D73:E73,D180:E180,D287:E287,D394:E394,D501:E501,D608:E608,D715:E715)/config!$AC$13</f>
        <v>7.2857142857142856</v>
      </c>
      <c r="AU69" s="68">
        <f>SUM(F73:G73,F180:G180,F287:G287,F394:G394,F501:G501,F608:G608,F715:G715)/config!$AC$13</f>
        <v>0.8571428571428571</v>
      </c>
      <c r="AV69" s="68">
        <f>SUM(H73,H180,H287,H394,H501,H608,H715)/config!$AC$13</f>
        <v>0</v>
      </c>
      <c r="AW69" s="69">
        <f>SUM(I73:L73,I180:L180,I287:L287,I394:L394,I501:L501,I608:L608,I715:L715)/config!$AC$13</f>
        <v>0</v>
      </c>
      <c r="AY69" s="56">
        <f t="shared" si="42"/>
        <v>0.60416666666666663</v>
      </c>
      <c r="AZ69" s="70">
        <f t="shared" si="55"/>
        <v>9</v>
      </c>
      <c r="BA69" s="71">
        <f t="shared" si="56"/>
        <v>5</v>
      </c>
      <c r="BB69" s="71">
        <f t="shared" si="57"/>
        <v>8</v>
      </c>
      <c r="BC69" s="71">
        <f t="shared" si="58"/>
        <v>12</v>
      </c>
      <c r="BD69" s="71">
        <f t="shared" si="59"/>
        <v>5</v>
      </c>
      <c r="BE69" s="71">
        <f t="shared" si="60"/>
        <v>8</v>
      </c>
      <c r="BF69" s="72">
        <f t="shared" si="61"/>
        <v>10</v>
      </c>
      <c r="BG69" s="45"/>
      <c r="BH69" s="56">
        <f t="shared" si="62"/>
        <v>0.60416666666666663</v>
      </c>
      <c r="BI69" s="67">
        <f t="shared" si="63"/>
        <v>36.1</v>
      </c>
      <c r="BJ69" s="68">
        <f t="shared" si="64"/>
        <v>35.9</v>
      </c>
      <c r="BK69" s="68">
        <f t="shared" si="65"/>
        <v>37.299999999999997</v>
      </c>
      <c r="BL69" s="68">
        <f t="shared" si="66"/>
        <v>33.1</v>
      </c>
      <c r="BM69" s="68">
        <f t="shared" si="67"/>
        <v>40.200000000000003</v>
      </c>
      <c r="BN69" s="68">
        <f t="shared" si="68"/>
        <v>42.4</v>
      </c>
      <c r="BO69" s="69">
        <f t="shared" si="69"/>
        <v>37.799999999999997</v>
      </c>
      <c r="BP69" s="63"/>
      <c r="BQ69" s="64">
        <f t="shared" si="70"/>
        <v>0.60416666666666663</v>
      </c>
      <c r="BR69" s="67" t="str">
        <f t="shared" si="71"/>
        <v/>
      </c>
      <c r="BS69" s="68" t="str">
        <f t="shared" si="72"/>
        <v/>
      </c>
      <c r="BT69" s="68" t="str">
        <f t="shared" si="73"/>
        <v/>
      </c>
      <c r="BU69" s="68">
        <f t="shared" si="74"/>
        <v>40</v>
      </c>
      <c r="BV69" s="68" t="str">
        <f t="shared" si="75"/>
        <v/>
      </c>
      <c r="BW69" s="68" t="str">
        <f t="shared" si="76"/>
        <v/>
      </c>
      <c r="BX69" s="69" t="str">
        <f t="shared" si="77"/>
        <v/>
      </c>
      <c r="BY69" s="65"/>
      <c r="BZ69" s="66">
        <f t="shared" si="43"/>
        <v>37.542857142857144</v>
      </c>
      <c r="CA69" s="414">
        <f t="shared" si="31"/>
        <v>40</v>
      </c>
      <c r="CB69" s="416">
        <f t="shared" si="48"/>
        <v>60</v>
      </c>
      <c r="CC69" s="65"/>
      <c r="CD69" s="67">
        <f t="shared" si="78"/>
        <v>0</v>
      </c>
      <c r="CE69" s="68">
        <f t="shared" si="79"/>
        <v>0</v>
      </c>
      <c r="CF69" s="68">
        <f t="shared" si="80"/>
        <v>0</v>
      </c>
      <c r="CG69" s="68">
        <f t="shared" si="81"/>
        <v>0</v>
      </c>
      <c r="CH69" s="68">
        <f t="shared" si="82"/>
        <v>0</v>
      </c>
      <c r="CI69" s="68">
        <f t="shared" si="83"/>
        <v>0</v>
      </c>
      <c r="CJ69" s="69">
        <f t="shared" si="84"/>
        <v>0</v>
      </c>
      <c r="CM69" s="67">
        <f t="shared" si="44"/>
        <v>324.90000000000003</v>
      </c>
      <c r="CN69" s="68">
        <f t="shared" si="49"/>
        <v>179.5</v>
      </c>
      <c r="CO69" s="68">
        <f t="shared" si="50"/>
        <v>298.39999999999998</v>
      </c>
      <c r="CP69" s="68">
        <f t="shared" si="51"/>
        <v>397.20000000000005</v>
      </c>
      <c r="CQ69" s="68">
        <f t="shared" si="52"/>
        <v>201</v>
      </c>
      <c r="CR69" s="68">
        <f t="shared" si="53"/>
        <v>339.2</v>
      </c>
      <c r="CS69" s="69">
        <f t="shared" si="54"/>
        <v>378</v>
      </c>
      <c r="CU69" s="511">
        <f>SUM(SUMIF($AZ$8:$BF$8, {"NON";"NEUT"}, AZ69:BF69))/config!$AC$16</f>
        <v>8.8000000000000007</v>
      </c>
      <c r="CV69" s="512">
        <f t="shared" si="45"/>
        <v>0.60416666666666663</v>
      </c>
      <c r="CY69" s="67">
        <f>SUM(C73*$CY$108, C180*$CY$109, C287*$CY$110, C394*$CY$111, C501*$CY$112, C608*$CY$113, C715*$CY$114)/config!$AC$16</f>
        <v>0</v>
      </c>
      <c r="CZ69" s="68">
        <f>SUM(SUM(D73:E73)*$CY$108, SUM(D180:E180)*$CY$109, SUM(D287:E287)*$CY$110, SUM(D394:E394)*$CY$111, SUM(D501:E501)*$CY$112, SUM(D608:E608)*$CY$113, SUM(D715:E715)*$CY$114)/config!$AC$16</f>
        <v>7.8</v>
      </c>
      <c r="DA69" s="68">
        <f>SUM(SUM(F73:G73)*$CY$108, SUM(F180:G180)*$CY$109, SUM(F287:G287)*$CY$110, SUM(F394:G394)*$CY$111, SUM(F501:G501)*$CY$112, SUM(F608:G608)*$CY$113, SUM(F715:G715)*$CY$114)/config!$AC$16</f>
        <v>1</v>
      </c>
      <c r="DB69" s="68">
        <f>SUM(H73*$CY$108, H180*$CY$109, H287*$CY$110, H394*$CY$111, H501*$CY$112, H608*$CY$113, H715*$CY$114)/config!$AC$16</f>
        <v>0</v>
      </c>
      <c r="DC69" s="69">
        <f>SUM(SUM(I73:L73)*$CY$108, SUM(I180:L180)*$CY$109, SUM(I287:L287)*$CY$110, SUM(I394:L394)*$CY$111, SUM(I501:L501)*$CY$112, SUM(I608:L608)*$CY$113, SUM(I715:L715)*$CY$114)/config!$AC$16</f>
        <v>0</v>
      </c>
    </row>
    <row r="70" spans="1:107" ht="15" x14ac:dyDescent="0.25">
      <c r="A70" s="440" t="s">
        <v>102</v>
      </c>
      <c r="B70" s="642">
        <v>2</v>
      </c>
      <c r="C70" s="184">
        <v>0</v>
      </c>
      <c r="D70" s="184">
        <v>1</v>
      </c>
      <c r="E70" s="184">
        <v>0</v>
      </c>
      <c r="F70" s="184">
        <v>1</v>
      </c>
      <c r="G70" s="184">
        <v>0</v>
      </c>
      <c r="H70" s="184">
        <v>0</v>
      </c>
      <c r="I70" s="184">
        <v>0</v>
      </c>
      <c r="J70" s="184">
        <v>0</v>
      </c>
      <c r="K70" s="184">
        <v>0</v>
      </c>
      <c r="L70" s="184">
        <v>0</v>
      </c>
      <c r="M70" s="654" t="s">
        <v>24</v>
      </c>
      <c r="N70" s="670" t="s">
        <v>102</v>
      </c>
      <c r="O70" s="642">
        <v>0</v>
      </c>
      <c r="P70" s="184">
        <v>0</v>
      </c>
      <c r="Q70" s="184">
        <v>0</v>
      </c>
      <c r="R70" s="184">
        <v>0</v>
      </c>
      <c r="S70" s="184">
        <v>0</v>
      </c>
      <c r="T70" s="184">
        <v>1</v>
      </c>
      <c r="U70" s="184">
        <v>1</v>
      </c>
      <c r="V70" s="184">
        <v>0</v>
      </c>
      <c r="W70" s="184">
        <v>0</v>
      </c>
      <c r="X70" s="184">
        <v>0</v>
      </c>
      <c r="Y70" s="184">
        <v>0</v>
      </c>
      <c r="Z70" s="184">
        <v>0</v>
      </c>
      <c r="AA70" s="184">
        <v>0</v>
      </c>
      <c r="AB70" s="184">
        <v>0</v>
      </c>
      <c r="AC70" s="185">
        <v>33.6</v>
      </c>
      <c r="AD70" s="185" t="s">
        <v>24</v>
      </c>
      <c r="AE70" s="184">
        <v>0</v>
      </c>
      <c r="AF70" s="185">
        <v>0</v>
      </c>
      <c r="AG70" s="184">
        <v>0</v>
      </c>
      <c r="AH70" s="185">
        <v>0</v>
      </c>
      <c r="AI70" s="184">
        <v>0</v>
      </c>
      <c r="AJ70" s="643">
        <v>0</v>
      </c>
      <c r="AP70" s="401">
        <f t="shared" si="40"/>
        <v>4</v>
      </c>
      <c r="AR70" s="56">
        <f t="shared" si="41"/>
        <v>0.61458333333333326</v>
      </c>
      <c r="AS70" s="67">
        <f>SUM(C74,C181,C288,C395,C502,C609,C716)/config!$AC$13</f>
        <v>2</v>
      </c>
      <c r="AT70" s="68">
        <f>SUM(D74:E74,D181:E181,D288:E288,D395:E395,D502:E502,D609:E609,D716:E716)/config!$AC$13</f>
        <v>8.8571428571428577</v>
      </c>
      <c r="AU70" s="68">
        <f>SUM(F74:G74,F181:G181,F288:G288,F395:G395,F502:G502,F609:G609,F716:G716)/config!$AC$13</f>
        <v>0.5714285714285714</v>
      </c>
      <c r="AV70" s="68">
        <f>SUM(H74,H181,H288,H395,H502,H609,H716)/config!$AC$13</f>
        <v>0.2857142857142857</v>
      </c>
      <c r="AW70" s="69">
        <f>SUM(I74:L74,I181:L181,I288:L288,I395:L395,I502:L502,I609:L609,I716:L716)/config!$AC$13</f>
        <v>0</v>
      </c>
      <c r="AY70" s="56">
        <f t="shared" si="42"/>
        <v>0.61458333333333326</v>
      </c>
      <c r="AZ70" s="70">
        <f t="shared" si="55"/>
        <v>8</v>
      </c>
      <c r="BA70" s="71">
        <f t="shared" si="56"/>
        <v>7</v>
      </c>
      <c r="BB70" s="71">
        <f t="shared" si="57"/>
        <v>10</v>
      </c>
      <c r="BC70" s="71">
        <f t="shared" si="58"/>
        <v>29</v>
      </c>
      <c r="BD70" s="71">
        <f t="shared" si="59"/>
        <v>10</v>
      </c>
      <c r="BE70" s="71">
        <f t="shared" si="60"/>
        <v>9</v>
      </c>
      <c r="BF70" s="72">
        <f t="shared" si="61"/>
        <v>9</v>
      </c>
      <c r="BG70" s="45"/>
      <c r="BH70" s="56">
        <f t="shared" si="62"/>
        <v>0.61458333333333326</v>
      </c>
      <c r="BI70" s="67">
        <f t="shared" si="63"/>
        <v>38.799999999999997</v>
      </c>
      <c r="BJ70" s="68">
        <f t="shared" si="64"/>
        <v>42.7</v>
      </c>
      <c r="BK70" s="68">
        <f t="shared" si="65"/>
        <v>34.799999999999997</v>
      </c>
      <c r="BL70" s="68">
        <f t="shared" si="66"/>
        <v>39.6</v>
      </c>
      <c r="BM70" s="68">
        <f t="shared" si="67"/>
        <v>38.200000000000003</v>
      </c>
      <c r="BN70" s="68">
        <f t="shared" si="68"/>
        <v>40.200000000000003</v>
      </c>
      <c r="BO70" s="69">
        <f t="shared" si="69"/>
        <v>37.700000000000003</v>
      </c>
      <c r="BP70" s="63"/>
      <c r="BQ70" s="64">
        <f t="shared" si="70"/>
        <v>0.61458333333333326</v>
      </c>
      <c r="BR70" s="67" t="str">
        <f t="shared" si="71"/>
        <v/>
      </c>
      <c r="BS70" s="68" t="str">
        <f t="shared" si="72"/>
        <v/>
      </c>
      <c r="BT70" s="68" t="str">
        <f t="shared" si="73"/>
        <v/>
      </c>
      <c r="BU70" s="68">
        <f t="shared" si="74"/>
        <v>47.7</v>
      </c>
      <c r="BV70" s="68" t="str">
        <f t="shared" si="75"/>
        <v/>
      </c>
      <c r="BW70" s="68" t="str">
        <f t="shared" si="76"/>
        <v/>
      </c>
      <c r="BX70" s="69" t="str">
        <f t="shared" si="77"/>
        <v/>
      </c>
      <c r="BY70" s="65"/>
      <c r="BZ70" s="66">
        <f t="shared" si="43"/>
        <v>38.857142857142854</v>
      </c>
      <c r="CA70" s="414">
        <f t="shared" si="31"/>
        <v>47.7</v>
      </c>
      <c r="CB70" s="416">
        <f t="shared" si="48"/>
        <v>60</v>
      </c>
      <c r="CC70" s="65"/>
      <c r="CD70" s="67">
        <f t="shared" si="78"/>
        <v>0</v>
      </c>
      <c r="CE70" s="68">
        <f t="shared" si="79"/>
        <v>0</v>
      </c>
      <c r="CF70" s="68">
        <f t="shared" si="80"/>
        <v>0</v>
      </c>
      <c r="CG70" s="68">
        <f t="shared" si="81"/>
        <v>0</v>
      </c>
      <c r="CH70" s="68">
        <f t="shared" si="82"/>
        <v>0</v>
      </c>
      <c r="CI70" s="68">
        <f t="shared" si="83"/>
        <v>0</v>
      </c>
      <c r="CJ70" s="69">
        <f t="shared" si="84"/>
        <v>0</v>
      </c>
      <c r="CM70" s="67">
        <f t="shared" si="44"/>
        <v>310.39999999999998</v>
      </c>
      <c r="CN70" s="68">
        <f t="shared" si="49"/>
        <v>298.90000000000003</v>
      </c>
      <c r="CO70" s="68">
        <f t="shared" si="50"/>
        <v>348</v>
      </c>
      <c r="CP70" s="68">
        <f t="shared" si="51"/>
        <v>1148.4000000000001</v>
      </c>
      <c r="CQ70" s="68">
        <f t="shared" si="52"/>
        <v>382</v>
      </c>
      <c r="CR70" s="68">
        <f t="shared" si="53"/>
        <v>361.8</v>
      </c>
      <c r="CS70" s="69">
        <f t="shared" si="54"/>
        <v>339.3</v>
      </c>
      <c r="CU70" s="511">
        <f>SUM(SUMIF($AZ$8:$BF$8, {"NON";"NEUT"}, AZ70:BF70))/config!$AC$16</f>
        <v>12.6</v>
      </c>
      <c r="CV70" s="512">
        <f t="shared" si="45"/>
        <v>0.61458333333333326</v>
      </c>
      <c r="CY70" s="67">
        <f>SUM(C74*$CY$108, C181*$CY$109, C288*$CY$110, C395*$CY$111, C502*$CY$112, C609*$CY$113, C716*$CY$114)/config!$AC$16</f>
        <v>2.8</v>
      </c>
      <c r="CZ70" s="68">
        <f>SUM(SUM(D74:E74)*$CY$108, SUM(D181:E181)*$CY$109, SUM(D288:E288)*$CY$110, SUM(D395:E395)*$CY$111, SUM(D502:E502)*$CY$112, SUM(D609:E609)*$CY$113, SUM(D716:E716)*$CY$114)/config!$AC$16</f>
        <v>8.6</v>
      </c>
      <c r="DA70" s="68">
        <f>SUM(SUM(F74:G74)*$CY$108, SUM(F181:G181)*$CY$109, SUM(F288:G288)*$CY$110, SUM(F395:G395)*$CY$111, SUM(F502:G502)*$CY$112, SUM(F609:G609)*$CY$113, SUM(F716:G716)*$CY$114)/config!$AC$16</f>
        <v>0.8</v>
      </c>
      <c r="DB70" s="68">
        <f>SUM(H74*$CY$108, H181*$CY$109, H288*$CY$110, H395*$CY$111, H502*$CY$112, H609*$CY$113, H716*$CY$114)/config!$AC$16</f>
        <v>0.4</v>
      </c>
      <c r="DC70" s="69">
        <f>SUM(SUM(I74:L74)*$CY$108, SUM(I181:L181)*$CY$109, SUM(I288:L288)*$CY$110, SUM(I395:L395)*$CY$111, SUM(I502:L502)*$CY$112, SUM(I609:L609)*$CY$113, SUM(I716:L716)*$CY$114)/config!$AC$16</f>
        <v>0</v>
      </c>
    </row>
    <row r="71" spans="1:107" ht="15" x14ac:dyDescent="0.25">
      <c r="A71" s="440" t="s">
        <v>62</v>
      </c>
      <c r="B71" s="642">
        <v>9</v>
      </c>
      <c r="C71" s="184">
        <v>2</v>
      </c>
      <c r="D71" s="184">
        <v>7</v>
      </c>
      <c r="E71" s="184">
        <v>0</v>
      </c>
      <c r="F71" s="184">
        <v>0</v>
      </c>
      <c r="G71" s="184">
        <v>0</v>
      </c>
      <c r="H71" s="184">
        <v>0</v>
      </c>
      <c r="I71" s="184">
        <v>0</v>
      </c>
      <c r="J71" s="184">
        <v>0</v>
      </c>
      <c r="K71" s="184">
        <v>0</v>
      </c>
      <c r="L71" s="184">
        <v>0</v>
      </c>
      <c r="M71" s="654" t="s">
        <v>24</v>
      </c>
      <c r="N71" s="670" t="s">
        <v>62</v>
      </c>
      <c r="O71" s="642">
        <v>0</v>
      </c>
      <c r="P71" s="184">
        <v>0</v>
      </c>
      <c r="Q71" s="184">
        <v>1</v>
      </c>
      <c r="R71" s="184">
        <v>0</v>
      </c>
      <c r="S71" s="184">
        <v>0</v>
      </c>
      <c r="T71" s="184">
        <v>1</v>
      </c>
      <c r="U71" s="184">
        <v>2</v>
      </c>
      <c r="V71" s="184">
        <v>2</v>
      </c>
      <c r="W71" s="184">
        <v>2</v>
      </c>
      <c r="X71" s="184">
        <v>1</v>
      </c>
      <c r="Y71" s="184">
        <v>0</v>
      </c>
      <c r="Z71" s="184">
        <v>0</v>
      </c>
      <c r="AA71" s="184">
        <v>0</v>
      </c>
      <c r="AB71" s="184">
        <v>0</v>
      </c>
      <c r="AC71" s="185">
        <v>39.799999999999997</v>
      </c>
      <c r="AD71" s="185" t="s">
        <v>24</v>
      </c>
      <c r="AE71" s="184">
        <v>0</v>
      </c>
      <c r="AF71" s="185">
        <v>0</v>
      </c>
      <c r="AG71" s="184">
        <v>0</v>
      </c>
      <c r="AH71" s="185">
        <v>0</v>
      </c>
      <c r="AI71" s="184">
        <v>0</v>
      </c>
      <c r="AJ71" s="643">
        <v>0</v>
      </c>
      <c r="AP71" s="401">
        <f t="shared" si="40"/>
        <v>6</v>
      </c>
      <c r="AR71" s="56">
        <f t="shared" si="41"/>
        <v>0.62499999999999989</v>
      </c>
      <c r="AS71" s="67">
        <f>SUM(C75,C182,C289,C396,C503,C610,C717)/config!$AC$13</f>
        <v>0.14285714285714285</v>
      </c>
      <c r="AT71" s="68">
        <f>SUM(D75:E75,D182:E182,D289:E289,D396:E396,D503:E503,D610:E610,D717:E717)/config!$AC$13</f>
        <v>10</v>
      </c>
      <c r="AU71" s="68">
        <f>SUM(F75:G75,F182:G182,F289:G289,F396:G396,F503:G503,F610:G610,F717:G717)/config!$AC$13</f>
        <v>0.8571428571428571</v>
      </c>
      <c r="AV71" s="68">
        <f>SUM(H75,H182,H289,H396,H503,H610,H717)/config!$AC$13</f>
        <v>0</v>
      </c>
      <c r="AW71" s="69">
        <f>SUM(I75:L75,I182:L182,I289:L289,I396:L396,I503:L503,I610:L610,I717:L717)/config!$AC$13</f>
        <v>0</v>
      </c>
      <c r="AY71" s="56">
        <f t="shared" si="42"/>
        <v>0.62499999999999989</v>
      </c>
      <c r="AZ71" s="70">
        <f t="shared" si="55"/>
        <v>11</v>
      </c>
      <c r="BA71" s="71">
        <f t="shared" si="56"/>
        <v>13</v>
      </c>
      <c r="BB71" s="71">
        <f t="shared" si="57"/>
        <v>19</v>
      </c>
      <c r="BC71" s="71">
        <f t="shared" si="58"/>
        <v>7</v>
      </c>
      <c r="BD71" s="71">
        <f t="shared" si="59"/>
        <v>9</v>
      </c>
      <c r="BE71" s="71">
        <f t="shared" si="60"/>
        <v>8</v>
      </c>
      <c r="BF71" s="72">
        <f t="shared" si="61"/>
        <v>10</v>
      </c>
      <c r="BG71" s="45"/>
      <c r="BH71" s="56">
        <f t="shared" si="62"/>
        <v>0.62499999999999989</v>
      </c>
      <c r="BI71" s="67">
        <f t="shared" si="63"/>
        <v>39.200000000000003</v>
      </c>
      <c r="BJ71" s="68">
        <f t="shared" si="64"/>
        <v>37.700000000000003</v>
      </c>
      <c r="BK71" s="68">
        <f t="shared" si="65"/>
        <v>41.7</v>
      </c>
      <c r="BL71" s="68">
        <f t="shared" si="66"/>
        <v>40.4</v>
      </c>
      <c r="BM71" s="68">
        <f t="shared" si="67"/>
        <v>39.6</v>
      </c>
      <c r="BN71" s="68">
        <f t="shared" si="68"/>
        <v>42.7</v>
      </c>
      <c r="BO71" s="69">
        <f t="shared" si="69"/>
        <v>36.299999999999997</v>
      </c>
      <c r="BP71" s="63"/>
      <c r="BQ71" s="64">
        <f t="shared" si="70"/>
        <v>0.62499999999999989</v>
      </c>
      <c r="BR71" s="67">
        <f t="shared" si="71"/>
        <v>45.6</v>
      </c>
      <c r="BS71" s="68">
        <f t="shared" si="72"/>
        <v>47.3</v>
      </c>
      <c r="BT71" s="68">
        <f t="shared" si="73"/>
        <v>50.1</v>
      </c>
      <c r="BU71" s="68" t="str">
        <f t="shared" si="74"/>
        <v/>
      </c>
      <c r="BV71" s="68" t="str">
        <f t="shared" si="75"/>
        <v/>
      </c>
      <c r="BW71" s="68" t="str">
        <f t="shared" si="76"/>
        <v/>
      </c>
      <c r="BX71" s="69" t="str">
        <f t="shared" si="77"/>
        <v/>
      </c>
      <c r="BY71" s="65"/>
      <c r="BZ71" s="66">
        <f t="shared" si="43"/>
        <v>39.657142857142858</v>
      </c>
      <c r="CA71" s="414">
        <f t="shared" si="31"/>
        <v>47.666666666666664</v>
      </c>
      <c r="CB71" s="416">
        <f t="shared" si="48"/>
        <v>60</v>
      </c>
      <c r="CC71" s="65"/>
      <c r="CD71" s="67">
        <f t="shared" si="78"/>
        <v>0</v>
      </c>
      <c r="CE71" s="68">
        <f t="shared" si="79"/>
        <v>0</v>
      </c>
      <c r="CF71" s="68">
        <f t="shared" si="80"/>
        <v>0</v>
      </c>
      <c r="CG71" s="68">
        <f t="shared" si="81"/>
        <v>0</v>
      </c>
      <c r="CH71" s="68">
        <f t="shared" si="82"/>
        <v>0</v>
      </c>
      <c r="CI71" s="68">
        <f t="shared" si="83"/>
        <v>0</v>
      </c>
      <c r="CJ71" s="69">
        <f t="shared" si="84"/>
        <v>1</v>
      </c>
      <c r="CM71" s="67">
        <f t="shared" si="44"/>
        <v>431.20000000000005</v>
      </c>
      <c r="CN71" s="68">
        <f t="shared" si="49"/>
        <v>490.1</v>
      </c>
      <c r="CO71" s="68">
        <f t="shared" si="50"/>
        <v>792.30000000000007</v>
      </c>
      <c r="CP71" s="68">
        <f t="shared" si="51"/>
        <v>282.8</v>
      </c>
      <c r="CQ71" s="68">
        <f t="shared" si="52"/>
        <v>356.40000000000003</v>
      </c>
      <c r="CR71" s="68">
        <f t="shared" si="53"/>
        <v>341.6</v>
      </c>
      <c r="CS71" s="69">
        <f t="shared" si="54"/>
        <v>363</v>
      </c>
      <c r="CU71" s="511">
        <f>SUM(SUMIF($AZ$8:$BF$8, {"NON";"NEUT"}, AZ71:BF71))/config!$AC$16</f>
        <v>12</v>
      </c>
      <c r="CV71" s="512">
        <f t="shared" si="45"/>
        <v>0.62499999999999989</v>
      </c>
      <c r="CY71" s="67">
        <f>SUM(C75*$CY$108, C182*$CY$109, C289*$CY$110, C396*$CY$111, C503*$CY$112, C610*$CY$113, C717*$CY$114)/config!$AC$16</f>
        <v>0.2</v>
      </c>
      <c r="CZ71" s="68">
        <f>SUM(SUM(D75:E75)*$CY$108, SUM(D182:E182)*$CY$109, SUM(D289:E289)*$CY$110, SUM(D396:E396)*$CY$111, SUM(D503:E503)*$CY$112, SUM(D610:E610)*$CY$113, SUM(D717:E717)*$CY$114)/config!$AC$16</f>
        <v>10.8</v>
      </c>
      <c r="DA71" s="68">
        <f>SUM(SUM(F75:G75)*$CY$108, SUM(F182:G182)*$CY$109, SUM(F289:G289)*$CY$110, SUM(F396:G396)*$CY$111, SUM(F503:G503)*$CY$112, SUM(F610:G610)*$CY$113, SUM(F717:G717)*$CY$114)/config!$AC$16</f>
        <v>1</v>
      </c>
      <c r="DB71" s="68">
        <f>SUM(H75*$CY$108, H182*$CY$109, H289*$CY$110, H396*$CY$111, H503*$CY$112, H610*$CY$113, H717*$CY$114)/config!$AC$16</f>
        <v>0</v>
      </c>
      <c r="DC71" s="69">
        <f>SUM(SUM(I75:L75)*$CY$108, SUM(I182:L182)*$CY$109, SUM(I289:L289)*$CY$110, SUM(I396:L396)*$CY$111, SUM(I503:L503)*$CY$112, SUM(I610:L610)*$CY$113, SUM(I717:L717)*$CY$114)/config!$AC$16</f>
        <v>0</v>
      </c>
    </row>
    <row r="72" spans="1:107" ht="15" x14ac:dyDescent="0.25">
      <c r="A72" s="440" t="s">
        <v>103</v>
      </c>
      <c r="B72" s="642">
        <v>12</v>
      </c>
      <c r="C72" s="184">
        <v>0</v>
      </c>
      <c r="D72" s="184">
        <v>10</v>
      </c>
      <c r="E72" s="184">
        <v>0</v>
      </c>
      <c r="F72" s="184">
        <v>2</v>
      </c>
      <c r="G72" s="184">
        <v>0</v>
      </c>
      <c r="H72" s="184">
        <v>0</v>
      </c>
      <c r="I72" s="184">
        <v>0</v>
      </c>
      <c r="J72" s="184">
        <v>0</v>
      </c>
      <c r="K72" s="184">
        <v>0</v>
      </c>
      <c r="L72" s="184">
        <v>0</v>
      </c>
      <c r="M72" s="654" t="s">
        <v>24</v>
      </c>
      <c r="N72" s="670" t="s">
        <v>103</v>
      </c>
      <c r="O72" s="642">
        <v>0</v>
      </c>
      <c r="P72" s="184">
        <v>0</v>
      </c>
      <c r="Q72" s="184">
        <v>0</v>
      </c>
      <c r="R72" s="184">
        <v>0</v>
      </c>
      <c r="S72" s="184">
        <v>1</v>
      </c>
      <c r="T72" s="184">
        <v>3</v>
      </c>
      <c r="U72" s="184">
        <v>4</v>
      </c>
      <c r="V72" s="184">
        <v>2</v>
      </c>
      <c r="W72" s="184">
        <v>1</v>
      </c>
      <c r="X72" s="184">
        <v>1</v>
      </c>
      <c r="Y72" s="184">
        <v>0</v>
      </c>
      <c r="Z72" s="184">
        <v>0</v>
      </c>
      <c r="AA72" s="184">
        <v>0</v>
      </c>
      <c r="AB72" s="184">
        <v>0</v>
      </c>
      <c r="AC72" s="185">
        <v>38.700000000000003</v>
      </c>
      <c r="AD72" s="185">
        <v>50.1</v>
      </c>
      <c r="AE72" s="184">
        <v>0</v>
      </c>
      <c r="AF72" s="185">
        <v>0</v>
      </c>
      <c r="AG72" s="184">
        <v>0</v>
      </c>
      <c r="AH72" s="185">
        <v>0</v>
      </c>
      <c r="AI72" s="184">
        <v>0</v>
      </c>
      <c r="AJ72" s="643">
        <v>0</v>
      </c>
      <c r="AP72" s="401">
        <f t="shared" si="40"/>
        <v>5</v>
      </c>
      <c r="AR72" s="56">
        <f t="shared" si="41"/>
        <v>0.63541666666666652</v>
      </c>
      <c r="AS72" s="67">
        <f>SUM(C76,C183,C290,C397,C504,C611,C718)/config!$AC$13</f>
        <v>0</v>
      </c>
      <c r="AT72" s="68">
        <f>SUM(D76:E76,D183:E183,D290:E290,D397:E397,D504:E504,D611:E611,D718:E718)/config!$AC$13</f>
        <v>7.2857142857142856</v>
      </c>
      <c r="AU72" s="68">
        <f>SUM(F76:G76,F183:G183,F290:G290,F397:G397,F504:G504,F611:G611,F718:G718)/config!$AC$13</f>
        <v>0.7142857142857143</v>
      </c>
      <c r="AV72" s="68">
        <f>SUM(H76,H183,H290,H397,H504,H611,H718)/config!$AC$13</f>
        <v>0</v>
      </c>
      <c r="AW72" s="69">
        <f>SUM(I76:L76,I183:L183,I290:L290,I397:L397,I504:L504,I611:L611,I718:L718)/config!$AC$13</f>
        <v>0</v>
      </c>
      <c r="AY72" s="56">
        <f t="shared" si="42"/>
        <v>0.63541666666666652</v>
      </c>
      <c r="AZ72" s="70">
        <f t="shared" si="55"/>
        <v>1</v>
      </c>
      <c r="BA72" s="71">
        <f t="shared" si="56"/>
        <v>17</v>
      </c>
      <c r="BB72" s="71">
        <f t="shared" si="57"/>
        <v>10</v>
      </c>
      <c r="BC72" s="71">
        <f t="shared" si="58"/>
        <v>6</v>
      </c>
      <c r="BD72" s="71">
        <f t="shared" si="59"/>
        <v>2</v>
      </c>
      <c r="BE72" s="71">
        <f t="shared" si="60"/>
        <v>16</v>
      </c>
      <c r="BF72" s="72">
        <f t="shared" si="61"/>
        <v>4</v>
      </c>
      <c r="BG72" s="45"/>
      <c r="BH72" s="56">
        <f t="shared" si="62"/>
        <v>0.63541666666666652</v>
      </c>
      <c r="BI72" s="67">
        <f t="shared" si="63"/>
        <v>44.9</v>
      </c>
      <c r="BJ72" s="68">
        <f t="shared" si="64"/>
        <v>41.7</v>
      </c>
      <c r="BK72" s="68">
        <f t="shared" si="65"/>
        <v>35.4</v>
      </c>
      <c r="BL72" s="68">
        <f t="shared" si="66"/>
        <v>37.799999999999997</v>
      </c>
      <c r="BM72" s="68">
        <f t="shared" si="67"/>
        <v>28.3</v>
      </c>
      <c r="BN72" s="68">
        <f t="shared" si="68"/>
        <v>39</v>
      </c>
      <c r="BO72" s="69">
        <f t="shared" si="69"/>
        <v>41.6</v>
      </c>
      <c r="BP72" s="63"/>
      <c r="BQ72" s="64">
        <f t="shared" si="70"/>
        <v>0.63541666666666652</v>
      </c>
      <c r="BR72" s="67" t="str">
        <f t="shared" si="71"/>
        <v/>
      </c>
      <c r="BS72" s="68">
        <f t="shared" si="72"/>
        <v>47.9</v>
      </c>
      <c r="BT72" s="68" t="str">
        <f t="shared" si="73"/>
        <v/>
      </c>
      <c r="BU72" s="68" t="str">
        <f t="shared" si="74"/>
        <v/>
      </c>
      <c r="BV72" s="68" t="str">
        <f t="shared" si="75"/>
        <v/>
      </c>
      <c r="BW72" s="68">
        <f t="shared" si="76"/>
        <v>44.4</v>
      </c>
      <c r="BX72" s="69" t="str">
        <f t="shared" si="77"/>
        <v/>
      </c>
      <c r="BY72" s="65"/>
      <c r="BZ72" s="66">
        <f t="shared" si="43"/>
        <v>38.385714285714293</v>
      </c>
      <c r="CA72" s="414">
        <f t="shared" si="31"/>
        <v>46.15</v>
      </c>
      <c r="CB72" s="416">
        <f t="shared" si="48"/>
        <v>60</v>
      </c>
      <c r="CC72" s="65"/>
      <c r="CD72" s="67">
        <f t="shared" si="78"/>
        <v>0</v>
      </c>
      <c r="CE72" s="68">
        <f t="shared" si="79"/>
        <v>0</v>
      </c>
      <c r="CF72" s="68">
        <f t="shared" si="80"/>
        <v>0</v>
      </c>
      <c r="CG72" s="68">
        <f t="shared" si="81"/>
        <v>0</v>
      </c>
      <c r="CH72" s="68">
        <f t="shared" si="82"/>
        <v>0</v>
      </c>
      <c r="CI72" s="68">
        <f t="shared" si="83"/>
        <v>0</v>
      </c>
      <c r="CJ72" s="69">
        <f t="shared" si="84"/>
        <v>0</v>
      </c>
      <c r="CM72" s="67">
        <f t="shared" si="44"/>
        <v>44.9</v>
      </c>
      <c r="CN72" s="68">
        <f t="shared" si="49"/>
        <v>708.90000000000009</v>
      </c>
      <c r="CO72" s="68">
        <f t="shared" si="50"/>
        <v>354</v>
      </c>
      <c r="CP72" s="68">
        <f t="shared" si="51"/>
        <v>226.79999999999998</v>
      </c>
      <c r="CQ72" s="68">
        <f t="shared" si="52"/>
        <v>56.6</v>
      </c>
      <c r="CR72" s="68">
        <f t="shared" si="53"/>
        <v>624</v>
      </c>
      <c r="CS72" s="69">
        <f t="shared" si="54"/>
        <v>166.4</v>
      </c>
      <c r="CU72" s="511">
        <f>SUM(SUMIF($AZ$8:$BF$8, {"NON";"NEUT"}, AZ72:BF72))/config!$AC$16</f>
        <v>7.6</v>
      </c>
      <c r="CV72" s="512">
        <f t="shared" si="45"/>
        <v>0.63541666666666652</v>
      </c>
      <c r="CY72" s="67">
        <f>SUM(C76*$CY$108, C183*$CY$109, C290*$CY$110, C397*$CY$111, C504*$CY$112, C611*$CY$113, C718*$CY$114)/config!$AC$16</f>
        <v>0</v>
      </c>
      <c r="CZ72" s="68">
        <f>SUM(SUM(D76:E76)*$CY$108, SUM(D183:E183)*$CY$109, SUM(D290:E290)*$CY$110, SUM(D397:E397)*$CY$111, SUM(D504:E504)*$CY$112, SUM(D611:E611)*$CY$113, SUM(D718:E718)*$CY$114)/config!$AC$16</f>
        <v>6.8</v>
      </c>
      <c r="DA72" s="68">
        <f>SUM(SUM(F76:G76)*$CY$108, SUM(F183:G183)*$CY$109, SUM(F290:G290)*$CY$110, SUM(F397:G397)*$CY$111, SUM(F504:G504)*$CY$112, SUM(F611:G611)*$CY$113, SUM(F718:G718)*$CY$114)/config!$AC$16</f>
        <v>0.8</v>
      </c>
      <c r="DB72" s="68">
        <f>SUM(H76*$CY$108, H183*$CY$109, H290*$CY$110, H397*$CY$111, H504*$CY$112, H611*$CY$113, H718*$CY$114)/config!$AC$16</f>
        <v>0</v>
      </c>
      <c r="DC72" s="69">
        <f>SUM(SUM(I76:L76)*$CY$108, SUM(I183:L183)*$CY$109, SUM(I290:L290)*$CY$110, SUM(I397:L397)*$CY$111, SUM(I504:L504)*$CY$112, SUM(I611:L611)*$CY$113, SUM(I718:L718)*$CY$114)/config!$AC$16</f>
        <v>0</v>
      </c>
    </row>
    <row r="73" spans="1:107" ht="15" x14ac:dyDescent="0.25">
      <c r="A73" s="440" t="s">
        <v>104</v>
      </c>
      <c r="B73" s="642">
        <v>9</v>
      </c>
      <c r="C73" s="184">
        <v>0</v>
      </c>
      <c r="D73" s="184">
        <v>8</v>
      </c>
      <c r="E73" s="184">
        <v>0</v>
      </c>
      <c r="F73" s="184">
        <v>1</v>
      </c>
      <c r="G73" s="184">
        <v>0</v>
      </c>
      <c r="H73" s="184">
        <v>0</v>
      </c>
      <c r="I73" s="184">
        <v>0</v>
      </c>
      <c r="J73" s="184">
        <v>0</v>
      </c>
      <c r="K73" s="184">
        <v>0</v>
      </c>
      <c r="L73" s="184">
        <v>0</v>
      </c>
      <c r="M73" s="654" t="s">
        <v>24</v>
      </c>
      <c r="N73" s="670" t="s">
        <v>104</v>
      </c>
      <c r="O73" s="642">
        <v>0</v>
      </c>
      <c r="P73" s="184">
        <v>0</v>
      </c>
      <c r="Q73" s="184">
        <v>0</v>
      </c>
      <c r="R73" s="184">
        <v>0</v>
      </c>
      <c r="S73" s="184">
        <v>2</v>
      </c>
      <c r="T73" s="184">
        <v>2</v>
      </c>
      <c r="U73" s="184">
        <v>2</v>
      </c>
      <c r="V73" s="184">
        <v>3</v>
      </c>
      <c r="W73" s="184">
        <v>0</v>
      </c>
      <c r="X73" s="184">
        <v>0</v>
      </c>
      <c r="Y73" s="184">
        <v>0</v>
      </c>
      <c r="Z73" s="184">
        <v>0</v>
      </c>
      <c r="AA73" s="184">
        <v>0</v>
      </c>
      <c r="AB73" s="184">
        <v>0</v>
      </c>
      <c r="AC73" s="185">
        <v>36.1</v>
      </c>
      <c r="AD73" s="185" t="s">
        <v>24</v>
      </c>
      <c r="AE73" s="184">
        <v>0</v>
      </c>
      <c r="AF73" s="185">
        <v>0</v>
      </c>
      <c r="AG73" s="184">
        <v>0</v>
      </c>
      <c r="AH73" s="185">
        <v>0</v>
      </c>
      <c r="AI73" s="184">
        <v>0</v>
      </c>
      <c r="AJ73" s="643">
        <v>0</v>
      </c>
      <c r="AP73" s="401">
        <f t="shared" si="40"/>
        <v>7</v>
      </c>
      <c r="AR73" s="56">
        <f t="shared" si="41"/>
        <v>0.64583333333333315</v>
      </c>
      <c r="AS73" s="67">
        <f>SUM(C77,C184,C291,C398,C505,C612,C719)/config!$AC$13</f>
        <v>0.2857142857142857</v>
      </c>
      <c r="AT73" s="68">
        <f>SUM(D77:E77,D184:E184,D291:E291,D398:E398,D505:E505,D612:E612,D719:E719)/config!$AC$13</f>
        <v>8.5714285714285712</v>
      </c>
      <c r="AU73" s="68">
        <f>SUM(F77:G77,F184:G184,F291:G291,F398:G398,F505:G505,F612:G612,F719:G719)/config!$AC$13</f>
        <v>1</v>
      </c>
      <c r="AV73" s="68">
        <f>SUM(H77,H184,H291,H398,H505,H612,H719)/config!$AC$13</f>
        <v>0</v>
      </c>
      <c r="AW73" s="69">
        <f>SUM(I77:L77,I184:L184,I291:L291,I398:L398,I505:L505,I612:L612,I719:L719)/config!$AC$13</f>
        <v>0</v>
      </c>
      <c r="AY73" s="56">
        <f t="shared" si="42"/>
        <v>0.64583333333333315</v>
      </c>
      <c r="AZ73" s="70">
        <f t="shared" si="55"/>
        <v>12</v>
      </c>
      <c r="BA73" s="71">
        <f t="shared" si="56"/>
        <v>11</v>
      </c>
      <c r="BB73" s="71">
        <f t="shared" si="57"/>
        <v>17</v>
      </c>
      <c r="BC73" s="71">
        <f t="shared" si="58"/>
        <v>11</v>
      </c>
      <c r="BD73" s="71">
        <f t="shared" si="59"/>
        <v>4</v>
      </c>
      <c r="BE73" s="71">
        <f t="shared" si="60"/>
        <v>4</v>
      </c>
      <c r="BF73" s="72">
        <f t="shared" si="61"/>
        <v>10</v>
      </c>
      <c r="BG73" s="45"/>
      <c r="BH73" s="56">
        <f t="shared" si="62"/>
        <v>0.64583333333333315</v>
      </c>
      <c r="BI73" s="67">
        <f t="shared" si="63"/>
        <v>41.5</v>
      </c>
      <c r="BJ73" s="68">
        <f t="shared" si="64"/>
        <v>40.200000000000003</v>
      </c>
      <c r="BK73" s="68">
        <f t="shared" si="65"/>
        <v>33.299999999999997</v>
      </c>
      <c r="BL73" s="68">
        <f t="shared" si="66"/>
        <v>44.2</v>
      </c>
      <c r="BM73" s="68">
        <f t="shared" si="67"/>
        <v>28.9</v>
      </c>
      <c r="BN73" s="68">
        <f t="shared" si="68"/>
        <v>38.5</v>
      </c>
      <c r="BO73" s="69">
        <f t="shared" si="69"/>
        <v>39.6</v>
      </c>
      <c r="BP73" s="63"/>
      <c r="BQ73" s="64">
        <f t="shared" si="70"/>
        <v>0.64583333333333315</v>
      </c>
      <c r="BR73" s="67">
        <f t="shared" si="71"/>
        <v>50.5</v>
      </c>
      <c r="BS73" s="68">
        <f t="shared" si="72"/>
        <v>49.3</v>
      </c>
      <c r="BT73" s="68">
        <f t="shared" si="73"/>
        <v>44.4</v>
      </c>
      <c r="BU73" s="68">
        <f t="shared" si="74"/>
        <v>50.1</v>
      </c>
      <c r="BV73" s="68" t="str">
        <f t="shared" si="75"/>
        <v/>
      </c>
      <c r="BW73" s="68" t="str">
        <f t="shared" si="76"/>
        <v/>
      </c>
      <c r="BX73" s="69" t="str">
        <f t="shared" si="77"/>
        <v/>
      </c>
      <c r="BY73" s="65"/>
      <c r="BZ73" s="66">
        <f t="shared" si="43"/>
        <v>38.028571428571425</v>
      </c>
      <c r="CA73" s="414">
        <f t="shared" si="31"/>
        <v>48.574999999999996</v>
      </c>
      <c r="CB73" s="416">
        <f t="shared" si="48"/>
        <v>60</v>
      </c>
      <c r="CC73" s="65"/>
      <c r="CD73" s="67">
        <f t="shared" si="78"/>
        <v>0</v>
      </c>
      <c r="CE73" s="68">
        <f t="shared" si="79"/>
        <v>0</v>
      </c>
      <c r="CF73" s="68">
        <f t="shared" si="80"/>
        <v>0</v>
      </c>
      <c r="CG73" s="68">
        <f t="shared" si="81"/>
        <v>0</v>
      </c>
      <c r="CH73" s="68">
        <f t="shared" si="82"/>
        <v>0</v>
      </c>
      <c r="CI73" s="68">
        <f t="shared" si="83"/>
        <v>0</v>
      </c>
      <c r="CJ73" s="69">
        <f t="shared" si="84"/>
        <v>0</v>
      </c>
      <c r="CM73" s="67">
        <f t="shared" si="44"/>
        <v>498</v>
      </c>
      <c r="CN73" s="68">
        <f t="shared" si="49"/>
        <v>442.20000000000005</v>
      </c>
      <c r="CO73" s="68">
        <f t="shared" si="50"/>
        <v>566.09999999999991</v>
      </c>
      <c r="CP73" s="68">
        <f t="shared" si="51"/>
        <v>486.20000000000005</v>
      </c>
      <c r="CQ73" s="68">
        <f t="shared" si="52"/>
        <v>115.6</v>
      </c>
      <c r="CR73" s="68">
        <f t="shared" si="53"/>
        <v>154</v>
      </c>
      <c r="CS73" s="69">
        <f t="shared" si="54"/>
        <v>396</v>
      </c>
      <c r="CU73" s="511">
        <f>SUM(SUMIF($AZ$8:$BF$8, {"NON";"NEUT"}, AZ73:BF73))/config!$AC$16</f>
        <v>12.2</v>
      </c>
      <c r="CV73" s="512">
        <f t="shared" si="45"/>
        <v>0.64583333333333315</v>
      </c>
      <c r="CY73" s="67">
        <f>SUM(C77*$CY$108, C184*$CY$109, C291*$CY$110, C398*$CY$111, C505*$CY$112, C612*$CY$113, C719*$CY$114)/config!$AC$16</f>
        <v>0.2</v>
      </c>
      <c r="CZ73" s="68">
        <f>SUM(SUM(D77:E77)*$CY$108, SUM(D184:E184)*$CY$109, SUM(D291:E291)*$CY$110, SUM(D398:E398)*$CY$111, SUM(D505:E505)*$CY$112, SUM(D612:E612)*$CY$113, SUM(D719:E719)*$CY$114)/config!$AC$16</f>
        <v>10.6</v>
      </c>
      <c r="DA73" s="68">
        <f>SUM(SUM(F77:G77)*$CY$108, SUM(F184:G184)*$CY$109, SUM(F291:G291)*$CY$110, SUM(F398:G398)*$CY$111, SUM(F505:G505)*$CY$112, SUM(F612:G612)*$CY$113, SUM(F719:G719)*$CY$114)/config!$AC$16</f>
        <v>1.4</v>
      </c>
      <c r="DB73" s="68">
        <f>SUM(H77*$CY$108, H184*$CY$109, H291*$CY$110, H398*$CY$111, H505*$CY$112, H612*$CY$113, H719*$CY$114)/config!$AC$16</f>
        <v>0</v>
      </c>
      <c r="DC73" s="69">
        <f>SUM(SUM(I77:L77)*$CY$108, SUM(I184:L184)*$CY$109, SUM(I291:L291)*$CY$110, SUM(I398:L398)*$CY$111, SUM(I505:L505)*$CY$112, SUM(I612:L612)*$CY$113, SUM(I719:L719)*$CY$114)/config!$AC$16</f>
        <v>0</v>
      </c>
    </row>
    <row r="74" spans="1:107" ht="15" x14ac:dyDescent="0.25">
      <c r="A74" s="440" t="s">
        <v>105</v>
      </c>
      <c r="B74" s="642">
        <v>8</v>
      </c>
      <c r="C74" s="184">
        <v>0</v>
      </c>
      <c r="D74" s="184">
        <v>8</v>
      </c>
      <c r="E74" s="184">
        <v>0</v>
      </c>
      <c r="F74" s="184">
        <v>0</v>
      </c>
      <c r="G74" s="184">
        <v>0</v>
      </c>
      <c r="H74" s="184">
        <v>0</v>
      </c>
      <c r="I74" s="184">
        <v>0</v>
      </c>
      <c r="J74" s="184">
        <v>0</v>
      </c>
      <c r="K74" s="184">
        <v>0</v>
      </c>
      <c r="L74" s="184">
        <v>0</v>
      </c>
      <c r="M74" s="654" t="s">
        <v>24</v>
      </c>
      <c r="N74" s="670" t="s">
        <v>105</v>
      </c>
      <c r="O74" s="642">
        <v>0</v>
      </c>
      <c r="P74" s="184">
        <v>0</v>
      </c>
      <c r="Q74" s="184">
        <v>0</v>
      </c>
      <c r="R74" s="184">
        <v>0</v>
      </c>
      <c r="S74" s="184">
        <v>0</v>
      </c>
      <c r="T74" s="184">
        <v>3</v>
      </c>
      <c r="U74" s="184">
        <v>1</v>
      </c>
      <c r="V74" s="184">
        <v>2</v>
      </c>
      <c r="W74" s="184">
        <v>2</v>
      </c>
      <c r="X74" s="184">
        <v>0</v>
      </c>
      <c r="Y74" s="184">
        <v>0</v>
      </c>
      <c r="Z74" s="184">
        <v>0</v>
      </c>
      <c r="AA74" s="184">
        <v>0</v>
      </c>
      <c r="AB74" s="184">
        <v>0</v>
      </c>
      <c r="AC74" s="185">
        <v>38.799999999999997</v>
      </c>
      <c r="AD74" s="185" t="s">
        <v>24</v>
      </c>
      <c r="AE74" s="184">
        <v>0</v>
      </c>
      <c r="AF74" s="185">
        <v>0</v>
      </c>
      <c r="AG74" s="184">
        <v>0</v>
      </c>
      <c r="AH74" s="185">
        <v>0</v>
      </c>
      <c r="AI74" s="184">
        <v>0</v>
      </c>
      <c r="AJ74" s="643">
        <v>0</v>
      </c>
      <c r="AP74" s="401">
        <f t="shared" si="40"/>
        <v>7</v>
      </c>
      <c r="AR74" s="56">
        <f t="shared" si="41"/>
        <v>0.65624999999999978</v>
      </c>
      <c r="AS74" s="67">
        <f>SUM(C78,C185,C292,C399,C506,C613,C720)/config!$AC$13</f>
        <v>0.2857142857142857</v>
      </c>
      <c r="AT74" s="68">
        <f>SUM(D78:E78,D185:E185,D292:E292,D399:E399,D506:E506,D613:E613,D720:E720)/config!$AC$13</f>
        <v>10.285714285714286</v>
      </c>
      <c r="AU74" s="68">
        <f>SUM(F78:G78,F185:G185,F292:G292,F399:G399,F506:G506,F613:G613,F720:G720)/config!$AC$13</f>
        <v>1</v>
      </c>
      <c r="AV74" s="68">
        <f>SUM(H78,H185,H292,H399,H506,H613,H720)/config!$AC$13</f>
        <v>0</v>
      </c>
      <c r="AW74" s="69">
        <f>SUM(I78:L78,I185:L185,I292:L292,I399:L399,I506:L506,I613:L613,I720:L720)/config!$AC$13</f>
        <v>0</v>
      </c>
      <c r="AY74" s="56">
        <f t="shared" si="42"/>
        <v>0.65624999999999978</v>
      </c>
      <c r="AZ74" s="70">
        <f t="shared" si="55"/>
        <v>10</v>
      </c>
      <c r="BA74" s="71">
        <f t="shared" si="56"/>
        <v>8</v>
      </c>
      <c r="BB74" s="71">
        <f t="shared" si="57"/>
        <v>18</v>
      </c>
      <c r="BC74" s="71">
        <f t="shared" si="58"/>
        <v>10</v>
      </c>
      <c r="BD74" s="71">
        <f t="shared" si="59"/>
        <v>9</v>
      </c>
      <c r="BE74" s="71">
        <f t="shared" si="60"/>
        <v>13</v>
      </c>
      <c r="BF74" s="72">
        <f t="shared" si="61"/>
        <v>13</v>
      </c>
      <c r="BG74" s="45"/>
      <c r="BH74" s="56">
        <f t="shared" si="62"/>
        <v>0.65624999999999978</v>
      </c>
      <c r="BI74" s="67">
        <f t="shared" si="63"/>
        <v>42.8</v>
      </c>
      <c r="BJ74" s="68">
        <f t="shared" si="64"/>
        <v>36.200000000000003</v>
      </c>
      <c r="BK74" s="68">
        <f t="shared" si="65"/>
        <v>40.6</v>
      </c>
      <c r="BL74" s="68">
        <f t="shared" si="66"/>
        <v>40.299999999999997</v>
      </c>
      <c r="BM74" s="68">
        <f t="shared" si="67"/>
        <v>35.799999999999997</v>
      </c>
      <c r="BN74" s="68">
        <f t="shared" si="68"/>
        <v>41.5</v>
      </c>
      <c r="BO74" s="69">
        <f t="shared" si="69"/>
        <v>38.5</v>
      </c>
      <c r="BP74" s="63"/>
      <c r="BQ74" s="64">
        <f t="shared" si="70"/>
        <v>0.65624999999999978</v>
      </c>
      <c r="BR74" s="67" t="str">
        <f t="shared" si="71"/>
        <v/>
      </c>
      <c r="BS74" s="68" t="str">
        <f t="shared" si="72"/>
        <v/>
      </c>
      <c r="BT74" s="68">
        <f t="shared" si="73"/>
        <v>50.3</v>
      </c>
      <c r="BU74" s="68" t="str">
        <f t="shared" si="74"/>
        <v/>
      </c>
      <c r="BV74" s="68" t="str">
        <f t="shared" si="75"/>
        <v/>
      </c>
      <c r="BW74" s="68">
        <f t="shared" si="76"/>
        <v>50.9</v>
      </c>
      <c r="BX74" s="69">
        <f t="shared" si="77"/>
        <v>48.9</v>
      </c>
      <c r="BY74" s="65"/>
      <c r="BZ74" s="66">
        <f t="shared" si="43"/>
        <v>39.385714285714286</v>
      </c>
      <c r="CA74" s="414">
        <f t="shared" si="31"/>
        <v>50.033333333333331</v>
      </c>
      <c r="CB74" s="416">
        <f t="shared" si="48"/>
        <v>60</v>
      </c>
      <c r="CC74" s="65"/>
      <c r="CD74" s="67">
        <f t="shared" si="78"/>
        <v>0</v>
      </c>
      <c r="CE74" s="68">
        <f t="shared" si="79"/>
        <v>0</v>
      </c>
      <c r="CF74" s="68">
        <f t="shared" si="80"/>
        <v>1</v>
      </c>
      <c r="CG74" s="68">
        <f t="shared" si="81"/>
        <v>0</v>
      </c>
      <c r="CH74" s="68">
        <f t="shared" si="82"/>
        <v>0</v>
      </c>
      <c r="CI74" s="68">
        <f t="shared" si="83"/>
        <v>1</v>
      </c>
      <c r="CJ74" s="69">
        <f t="shared" si="84"/>
        <v>0</v>
      </c>
      <c r="CM74" s="67">
        <f t="shared" si="44"/>
        <v>428</v>
      </c>
      <c r="CN74" s="68">
        <f t="shared" si="49"/>
        <v>289.60000000000002</v>
      </c>
      <c r="CO74" s="68">
        <f t="shared" si="50"/>
        <v>730.80000000000007</v>
      </c>
      <c r="CP74" s="68">
        <f t="shared" si="51"/>
        <v>403</v>
      </c>
      <c r="CQ74" s="68">
        <f t="shared" si="52"/>
        <v>322.2</v>
      </c>
      <c r="CR74" s="68">
        <f t="shared" si="53"/>
        <v>539.5</v>
      </c>
      <c r="CS74" s="69">
        <f t="shared" si="54"/>
        <v>500.5</v>
      </c>
      <c r="CU74" s="511">
        <f>SUM(SUMIF($AZ$8:$BF$8, {"NON";"NEUT"}, AZ74:BF74))/config!$AC$16</f>
        <v>11.8</v>
      </c>
      <c r="CV74" s="512">
        <f t="shared" si="45"/>
        <v>0.65624999999999978</v>
      </c>
      <c r="CY74" s="67">
        <f>SUM(C78*$CY$108, C185*$CY$109, C292*$CY$110, C399*$CY$111, C506*$CY$112, C613*$CY$113, C720*$CY$114)/config!$AC$16</f>
        <v>0.2</v>
      </c>
      <c r="CZ74" s="68">
        <f>SUM(SUM(D78:E78)*$CY$108, SUM(D185:E185)*$CY$109, SUM(D292:E292)*$CY$110, SUM(D399:E399)*$CY$111, SUM(D506:E506)*$CY$112, SUM(D613:E613)*$CY$113, SUM(D720:E720)*$CY$114)/config!$AC$16</f>
        <v>10.4</v>
      </c>
      <c r="DA74" s="68">
        <f>SUM(SUM(F78:G78)*$CY$108, SUM(F185:G185)*$CY$109, SUM(F292:G292)*$CY$110, SUM(F399:G399)*$CY$111, SUM(F506:G506)*$CY$112, SUM(F613:G613)*$CY$113, SUM(F720:G720)*$CY$114)/config!$AC$16</f>
        <v>1.2</v>
      </c>
      <c r="DB74" s="68">
        <f>SUM(H78*$CY$108, H185*$CY$109, H292*$CY$110, H399*$CY$111, H506*$CY$112, H613*$CY$113, H720*$CY$114)/config!$AC$16</f>
        <v>0</v>
      </c>
      <c r="DC74" s="69">
        <f>SUM(SUM(I78:L78)*$CY$108, SUM(I185:L185)*$CY$109, SUM(I292:L292)*$CY$110, SUM(I399:L399)*$CY$111, SUM(I506:L506)*$CY$112, SUM(I613:L613)*$CY$113, SUM(I720:L720)*$CY$114)/config!$AC$16</f>
        <v>0</v>
      </c>
    </row>
    <row r="75" spans="1:107" ht="15" x14ac:dyDescent="0.25">
      <c r="A75" s="440" t="s">
        <v>64</v>
      </c>
      <c r="B75" s="642">
        <v>11</v>
      </c>
      <c r="C75" s="184">
        <v>0</v>
      </c>
      <c r="D75" s="184">
        <v>10</v>
      </c>
      <c r="E75" s="184">
        <v>0</v>
      </c>
      <c r="F75" s="184">
        <v>1</v>
      </c>
      <c r="G75" s="184">
        <v>0</v>
      </c>
      <c r="H75" s="184">
        <v>0</v>
      </c>
      <c r="I75" s="184">
        <v>0</v>
      </c>
      <c r="J75" s="184">
        <v>0</v>
      </c>
      <c r="K75" s="184">
        <v>0</v>
      </c>
      <c r="L75" s="184">
        <v>0</v>
      </c>
      <c r="M75" s="654" t="s">
        <v>24</v>
      </c>
      <c r="N75" s="670" t="s">
        <v>64</v>
      </c>
      <c r="O75" s="642">
        <v>0</v>
      </c>
      <c r="P75" s="184">
        <v>0</v>
      </c>
      <c r="Q75" s="184">
        <v>0</v>
      </c>
      <c r="R75" s="184">
        <v>0</v>
      </c>
      <c r="S75" s="184">
        <v>0</v>
      </c>
      <c r="T75" s="184">
        <v>3</v>
      </c>
      <c r="U75" s="184">
        <v>2</v>
      </c>
      <c r="V75" s="184">
        <v>4</v>
      </c>
      <c r="W75" s="184">
        <v>2</v>
      </c>
      <c r="X75" s="184">
        <v>0</v>
      </c>
      <c r="Y75" s="184">
        <v>0</v>
      </c>
      <c r="Z75" s="184">
        <v>0</v>
      </c>
      <c r="AA75" s="184">
        <v>0</v>
      </c>
      <c r="AB75" s="184">
        <v>0</v>
      </c>
      <c r="AC75" s="185">
        <v>39.200000000000003</v>
      </c>
      <c r="AD75" s="185">
        <v>45.6</v>
      </c>
      <c r="AE75" s="184">
        <v>0</v>
      </c>
      <c r="AF75" s="185">
        <v>0</v>
      </c>
      <c r="AG75" s="184">
        <v>0</v>
      </c>
      <c r="AH75" s="185">
        <v>0</v>
      </c>
      <c r="AI75" s="184">
        <v>0</v>
      </c>
      <c r="AJ75" s="643">
        <v>0</v>
      </c>
      <c r="AP75" s="401">
        <f t="shared" si="40"/>
        <v>4</v>
      </c>
      <c r="AR75" s="56">
        <f t="shared" si="41"/>
        <v>0.66666666666666641</v>
      </c>
      <c r="AS75" s="79">
        <f>SUM(C79,C186,C293,C400,C507,C614,C721)/config!$AC$13</f>
        <v>0.5714285714285714</v>
      </c>
      <c r="AT75" s="80">
        <f>SUM(D79:E79,D186:E186,D293:E293,D400:E400,D507:E507,D614:E614,D721:E721)/config!$AC$13</f>
        <v>12.142857142857142</v>
      </c>
      <c r="AU75" s="80">
        <f>SUM(F79:G79,F186:G186,F293:G293,F400:G400,F507:G507,F614:G614,F721:G721)/config!$AC$13</f>
        <v>0.5714285714285714</v>
      </c>
      <c r="AV75" s="80">
        <f>SUM(H79,H186,H293,H400,H507,H614,H721)/config!$AC$13</f>
        <v>0</v>
      </c>
      <c r="AW75" s="81">
        <f>SUM(I79:L79,I186:L186,I293:L293,I400:L400,I507:L507,I614:L614,I721:L721)/config!$AC$13</f>
        <v>0</v>
      </c>
      <c r="AY75" s="56">
        <f t="shared" si="42"/>
        <v>0.66666666666666641</v>
      </c>
      <c r="AZ75" s="82">
        <f t="shared" ref="AZ75:AZ105" si="85">B79</f>
        <v>4</v>
      </c>
      <c r="BA75" s="83">
        <f t="shared" ref="BA75:BA106" si="86">B186</f>
        <v>9</v>
      </c>
      <c r="BB75" s="83">
        <f t="shared" ref="BB75:BB106" si="87">B293</f>
        <v>15</v>
      </c>
      <c r="BC75" s="83">
        <f t="shared" ref="BC75:BC106" si="88">B400</f>
        <v>18</v>
      </c>
      <c r="BD75" s="83">
        <f t="shared" ref="BD75:BD106" si="89">B507</f>
        <v>12</v>
      </c>
      <c r="BE75" s="83">
        <f t="shared" ref="BE75:BE106" si="90">B614</f>
        <v>18</v>
      </c>
      <c r="BF75" s="84">
        <f t="shared" ref="BF75:BF106" si="91">B721</f>
        <v>17</v>
      </c>
      <c r="BG75" s="45"/>
      <c r="BH75" s="56">
        <f t="shared" ref="BH75:BH106" si="92">AY75</f>
        <v>0.66666666666666641</v>
      </c>
      <c r="BI75" s="79">
        <f t="shared" ref="BI75:BI106" si="93">AC79</f>
        <v>39.6</v>
      </c>
      <c r="BJ75" s="80">
        <f t="shared" ref="BJ75:BJ106" si="94">AC186</f>
        <v>41.7</v>
      </c>
      <c r="BK75" s="80">
        <f t="shared" ref="BK75:BK106" si="95">AC293</f>
        <v>37.5</v>
      </c>
      <c r="BL75" s="80">
        <f t="shared" ref="BL75:BL106" si="96">AC400</f>
        <v>41.5</v>
      </c>
      <c r="BM75" s="80">
        <f t="shared" ref="BM75:BM106" si="97">AC507</f>
        <v>35.1</v>
      </c>
      <c r="BN75" s="80">
        <f t="shared" ref="BN75:BN106" si="98">AC614</f>
        <v>37</v>
      </c>
      <c r="BO75" s="81">
        <f t="shared" ref="BO75:BO106" si="99">AC721</f>
        <v>35.6</v>
      </c>
      <c r="BP75" s="63"/>
      <c r="BQ75" s="64">
        <f t="shared" ref="BQ75:BQ106" si="100">BH75</f>
        <v>0.66666666666666641</v>
      </c>
      <c r="BR75" s="79" t="str">
        <f t="shared" ref="BR75:BR106" si="101">AD79</f>
        <v/>
      </c>
      <c r="BS75" s="80" t="str">
        <f t="shared" ref="BS75:BS106" si="102">AD186</f>
        <v/>
      </c>
      <c r="BT75" s="80">
        <f t="shared" ref="BT75:BT106" si="103">AD293</f>
        <v>47.6</v>
      </c>
      <c r="BU75" s="80">
        <f t="shared" ref="BU75:BU106" si="104">AD400</f>
        <v>48.9</v>
      </c>
      <c r="BV75" s="80">
        <f t="shared" ref="BV75:BV106" si="105">AD507</f>
        <v>40.9</v>
      </c>
      <c r="BW75" s="80">
        <f t="shared" ref="BW75:BW106" si="106">AD614</f>
        <v>42.2</v>
      </c>
      <c r="BX75" s="81">
        <f t="shared" ref="BX75:BX106" si="107">AD721</f>
        <v>41.5</v>
      </c>
      <c r="BY75" s="65"/>
      <c r="BZ75" s="66">
        <f t="shared" si="43"/>
        <v>38.285714285714285</v>
      </c>
      <c r="CA75" s="414">
        <f t="shared" ref="CA75:CA105" si="108">IFERROR(SUM(BR75:BX75) / COUNTIF(BR75:BX75, "&gt;0"), NA())</f>
        <v>44.220000000000006</v>
      </c>
      <c r="CB75" s="416">
        <f t="shared" si="48"/>
        <v>60</v>
      </c>
      <c r="CC75" s="65"/>
      <c r="CD75" s="79">
        <f t="shared" ref="CD75:CD106" si="109">AE79</f>
        <v>0</v>
      </c>
      <c r="CE75" s="80">
        <f t="shared" ref="CE75:CE106" si="110">AE186</f>
        <v>0</v>
      </c>
      <c r="CF75" s="80">
        <f t="shared" ref="CF75:CF106" si="111">AE293</f>
        <v>0</v>
      </c>
      <c r="CG75" s="80">
        <f t="shared" ref="CG75:CG106" si="112">AE400</f>
        <v>0</v>
      </c>
      <c r="CH75" s="80">
        <f t="shared" ref="CH75:CH106" si="113">AE507</f>
        <v>0</v>
      </c>
      <c r="CI75" s="80">
        <f t="shared" ref="CI75:CI106" si="114">AE614</f>
        <v>0</v>
      </c>
      <c r="CJ75" s="81">
        <f t="shared" ref="CJ75:CJ106" si="115">AE721</f>
        <v>0</v>
      </c>
      <c r="CM75" s="79">
        <f t="shared" si="44"/>
        <v>158.4</v>
      </c>
      <c r="CN75" s="80">
        <f t="shared" si="49"/>
        <v>375.3</v>
      </c>
      <c r="CO75" s="80">
        <f t="shared" si="50"/>
        <v>562.5</v>
      </c>
      <c r="CP75" s="80">
        <f t="shared" si="51"/>
        <v>747</v>
      </c>
      <c r="CQ75" s="80">
        <f t="shared" si="52"/>
        <v>421.20000000000005</v>
      </c>
      <c r="CR75" s="80">
        <f t="shared" si="53"/>
        <v>666</v>
      </c>
      <c r="CS75" s="81">
        <f t="shared" si="54"/>
        <v>605.20000000000005</v>
      </c>
      <c r="CU75" s="511">
        <f>SUM(SUMIF($AZ$8:$BF$8, {"NON";"NEUT"}, AZ75:BF75))/config!$AC$16</f>
        <v>12.6</v>
      </c>
      <c r="CV75" s="512">
        <f t="shared" si="45"/>
        <v>0.66666666666666641</v>
      </c>
      <c r="CY75" s="79">
        <f>SUM(C79*$CY$108, C186*$CY$109, C293*$CY$110, C400*$CY$111, C507*$CY$112, C614*$CY$113, C721*$CY$114)/config!$AC$16</f>
        <v>0.6</v>
      </c>
      <c r="CZ75" s="80">
        <f>SUM(SUM(D79:E79)*$CY$108, SUM(D186:E186)*$CY$109, SUM(D293:E293)*$CY$110, SUM(D400:E400)*$CY$111, SUM(D507:E507)*$CY$112, SUM(D614:E614)*$CY$113, SUM(D721:E721)*$CY$114)/config!$AC$16</f>
        <v>11.6</v>
      </c>
      <c r="DA75" s="80">
        <f>SUM(SUM(F79:G79)*$CY$108, SUM(F186:G186)*$CY$109, SUM(F293:G293)*$CY$110, SUM(F400:G400)*$CY$111, SUM(F507:G507)*$CY$112, SUM(F614:G614)*$CY$113, SUM(F721:G721)*$CY$114)/config!$AC$16</f>
        <v>0.4</v>
      </c>
      <c r="DB75" s="80">
        <f>SUM(H79*$CY$108, H186*$CY$109, H293*$CY$110, H400*$CY$111, H507*$CY$112, H614*$CY$113, H721*$CY$114)/config!$AC$16</f>
        <v>0</v>
      </c>
      <c r="DC75" s="81">
        <f>SUM(SUM(I79:L79)*$CY$108, SUM(I186:L186)*$CY$109, SUM(I293:L293)*$CY$110, SUM(I400:L400)*$CY$111, SUM(I507:L507)*$CY$112, SUM(I614:L614)*$CY$113, SUM(I721:L721)*$CY$114)/config!$AC$16</f>
        <v>0</v>
      </c>
    </row>
    <row r="76" spans="1:107" ht="15" x14ac:dyDescent="0.25">
      <c r="A76" s="440" t="s">
        <v>106</v>
      </c>
      <c r="B76" s="642">
        <v>1</v>
      </c>
      <c r="C76" s="184">
        <v>0</v>
      </c>
      <c r="D76" s="184">
        <v>1</v>
      </c>
      <c r="E76" s="184">
        <v>0</v>
      </c>
      <c r="F76" s="184">
        <v>0</v>
      </c>
      <c r="G76" s="184">
        <v>0</v>
      </c>
      <c r="H76" s="184">
        <v>0</v>
      </c>
      <c r="I76" s="184">
        <v>0</v>
      </c>
      <c r="J76" s="184">
        <v>0</v>
      </c>
      <c r="K76" s="184">
        <v>0</v>
      </c>
      <c r="L76" s="184">
        <v>0</v>
      </c>
      <c r="M76" s="654" t="s">
        <v>24</v>
      </c>
      <c r="N76" s="670" t="s">
        <v>106</v>
      </c>
      <c r="O76" s="642">
        <v>0</v>
      </c>
      <c r="P76" s="184">
        <v>0</v>
      </c>
      <c r="Q76" s="184">
        <v>0</v>
      </c>
      <c r="R76" s="184">
        <v>0</v>
      </c>
      <c r="S76" s="184">
        <v>0</v>
      </c>
      <c r="T76" s="184">
        <v>0</v>
      </c>
      <c r="U76" s="184">
        <v>0</v>
      </c>
      <c r="V76" s="184">
        <v>1</v>
      </c>
      <c r="W76" s="184">
        <v>0</v>
      </c>
      <c r="X76" s="184">
        <v>0</v>
      </c>
      <c r="Y76" s="184">
        <v>0</v>
      </c>
      <c r="Z76" s="184">
        <v>0</v>
      </c>
      <c r="AA76" s="184">
        <v>0</v>
      </c>
      <c r="AB76" s="184">
        <v>0</v>
      </c>
      <c r="AC76" s="185">
        <v>44.9</v>
      </c>
      <c r="AD76" s="185" t="s">
        <v>24</v>
      </c>
      <c r="AE76" s="184">
        <v>0</v>
      </c>
      <c r="AF76" s="185">
        <v>0</v>
      </c>
      <c r="AG76" s="184">
        <v>0</v>
      </c>
      <c r="AH76" s="185">
        <v>0</v>
      </c>
      <c r="AI76" s="184">
        <v>0</v>
      </c>
      <c r="AJ76" s="643">
        <v>0</v>
      </c>
      <c r="AP76" s="401">
        <f t="shared" ref="AP76:AP106" si="116">SUM(F80,F187,F294,F401,F508,F615,F722)</f>
        <v>10</v>
      </c>
      <c r="AR76" s="56">
        <f t="shared" ref="AR76:AR106" si="117">AR75+TIME(0,15,0)</f>
        <v>0.67708333333333304</v>
      </c>
      <c r="AS76" s="67">
        <f>SUM(C80,C187,C294,C401,C508,C615,C722)/config!$AC$13</f>
        <v>0.2857142857142857</v>
      </c>
      <c r="AT76" s="68">
        <f>SUM(D80:E80,D187:E187,D294:E294,D401:E401,D508:E508,D615:E615,D722:E722)/config!$AC$13</f>
        <v>10</v>
      </c>
      <c r="AU76" s="68">
        <f>SUM(F80:G80,F187:G187,F294:G294,F401:G401,F508:G508,F615:G615,F722:G722)/config!$AC$13</f>
        <v>1.4285714285714286</v>
      </c>
      <c r="AV76" s="68">
        <f>SUM(H80,H187,H294,H401,H508,H615,H722)/config!$AC$13</f>
        <v>0</v>
      </c>
      <c r="AW76" s="69">
        <f>SUM(I80:L80,I187:L187,I294:L294,I401:L401,I508:L508,I615:L615,I722:L722)/config!$AC$13</f>
        <v>0</v>
      </c>
      <c r="AY76" s="56">
        <f t="shared" ref="AY76:AY106" si="118">AY75+TIME(0,15,0)</f>
        <v>0.67708333333333304</v>
      </c>
      <c r="AZ76" s="70">
        <f t="shared" si="85"/>
        <v>12</v>
      </c>
      <c r="BA76" s="71">
        <f t="shared" si="86"/>
        <v>16</v>
      </c>
      <c r="BB76" s="71">
        <f t="shared" si="87"/>
        <v>14</v>
      </c>
      <c r="BC76" s="71">
        <f t="shared" si="88"/>
        <v>13</v>
      </c>
      <c r="BD76" s="71">
        <f t="shared" si="89"/>
        <v>6</v>
      </c>
      <c r="BE76" s="71">
        <f t="shared" si="90"/>
        <v>9</v>
      </c>
      <c r="BF76" s="72">
        <f t="shared" si="91"/>
        <v>12</v>
      </c>
      <c r="BG76" s="45"/>
      <c r="BH76" s="56">
        <f t="shared" si="92"/>
        <v>0.67708333333333304</v>
      </c>
      <c r="BI76" s="67">
        <f t="shared" si="93"/>
        <v>38.799999999999997</v>
      </c>
      <c r="BJ76" s="68">
        <f t="shared" si="94"/>
        <v>35.6</v>
      </c>
      <c r="BK76" s="68">
        <f t="shared" si="95"/>
        <v>38.200000000000003</v>
      </c>
      <c r="BL76" s="68">
        <f t="shared" si="96"/>
        <v>39.799999999999997</v>
      </c>
      <c r="BM76" s="68">
        <f t="shared" si="97"/>
        <v>42.2</v>
      </c>
      <c r="BN76" s="68">
        <f t="shared" si="98"/>
        <v>44.4</v>
      </c>
      <c r="BO76" s="69">
        <f t="shared" si="99"/>
        <v>37.299999999999997</v>
      </c>
      <c r="BP76" s="63"/>
      <c r="BQ76" s="64">
        <f t="shared" si="100"/>
        <v>0.67708333333333304</v>
      </c>
      <c r="BR76" s="67">
        <f t="shared" si="101"/>
        <v>45.7</v>
      </c>
      <c r="BS76" s="68">
        <f t="shared" si="102"/>
        <v>43.5</v>
      </c>
      <c r="BT76" s="68">
        <f t="shared" si="103"/>
        <v>44.8</v>
      </c>
      <c r="BU76" s="68">
        <f t="shared" si="104"/>
        <v>42.5</v>
      </c>
      <c r="BV76" s="68" t="str">
        <f t="shared" si="105"/>
        <v/>
      </c>
      <c r="BW76" s="68" t="str">
        <f t="shared" si="106"/>
        <v/>
      </c>
      <c r="BX76" s="69">
        <f t="shared" si="107"/>
        <v>46.4</v>
      </c>
      <c r="BY76" s="65"/>
      <c r="BZ76" s="66">
        <f t="shared" ref="BZ76:BZ106" si="119">IF(SUM(BI76:BO76)&gt;0,SUM(BI76:BO76) / COUNTIF(BI76:BO76, "&gt;0"),NA())</f>
        <v>39.471428571428575</v>
      </c>
      <c r="CA76" s="414">
        <f t="shared" si="108"/>
        <v>44.58</v>
      </c>
      <c r="CB76" s="416">
        <f t="shared" si="48"/>
        <v>60</v>
      </c>
      <c r="CC76" s="65"/>
      <c r="CD76" s="67">
        <f t="shared" si="109"/>
        <v>0</v>
      </c>
      <c r="CE76" s="68">
        <f t="shared" si="110"/>
        <v>0</v>
      </c>
      <c r="CF76" s="68">
        <f t="shared" si="111"/>
        <v>0</v>
      </c>
      <c r="CG76" s="68">
        <f t="shared" si="112"/>
        <v>0</v>
      </c>
      <c r="CH76" s="68">
        <f t="shared" si="113"/>
        <v>0</v>
      </c>
      <c r="CI76" s="68">
        <f t="shared" si="114"/>
        <v>0</v>
      </c>
      <c r="CJ76" s="69">
        <f t="shared" si="115"/>
        <v>0</v>
      </c>
      <c r="CM76" s="67">
        <f t="shared" ref="CM76:CM106" si="120">IFERROR(AZ76*BI76,"")</f>
        <v>465.59999999999997</v>
      </c>
      <c r="CN76" s="68">
        <f t="shared" si="49"/>
        <v>569.6</v>
      </c>
      <c r="CO76" s="68">
        <f t="shared" si="50"/>
        <v>534.80000000000007</v>
      </c>
      <c r="CP76" s="68">
        <f t="shared" si="51"/>
        <v>517.4</v>
      </c>
      <c r="CQ76" s="68">
        <f t="shared" si="52"/>
        <v>253.20000000000002</v>
      </c>
      <c r="CR76" s="68">
        <f t="shared" si="53"/>
        <v>399.59999999999997</v>
      </c>
      <c r="CS76" s="69">
        <f t="shared" si="54"/>
        <v>447.59999999999997</v>
      </c>
      <c r="CU76" s="511">
        <f>SUM(SUMIF($AZ$8:$BF$8, {"NON";"NEUT"}, AZ76:BF76))/config!$AC$16</f>
        <v>13.4</v>
      </c>
      <c r="CV76" s="512">
        <f t="shared" ref="CV76:CV106" si="121">AY76</f>
        <v>0.67708333333333304</v>
      </c>
      <c r="CY76" s="67">
        <f>SUM(C80*$CY$108, C187*$CY$109, C294*$CY$110, C401*$CY$111, C508*$CY$112, C615*$CY$113, C722*$CY$114)/config!$AC$16</f>
        <v>0.4</v>
      </c>
      <c r="CZ76" s="68">
        <f>SUM(SUM(D80:E80)*$CY$108, SUM(D187:E187)*$CY$109, SUM(D294:E294)*$CY$110, SUM(D401:E401)*$CY$111, SUM(D508:E508)*$CY$112, SUM(D615:E615)*$CY$113, SUM(D722:E722)*$CY$114)/config!$AC$16</f>
        <v>11</v>
      </c>
      <c r="DA76" s="68">
        <f>SUM(SUM(F80:G80)*$CY$108, SUM(F187:G187)*$CY$109, SUM(F294:G294)*$CY$110, SUM(F401:G401)*$CY$111, SUM(F508:G508)*$CY$112, SUM(F615:G615)*$CY$113, SUM(F722:G722)*$CY$114)/config!$AC$16</f>
        <v>2</v>
      </c>
      <c r="DB76" s="68">
        <f>SUM(H80*$CY$108, H187*$CY$109, H294*$CY$110, H401*$CY$111, H508*$CY$112, H615*$CY$113, H722*$CY$114)/config!$AC$16</f>
        <v>0</v>
      </c>
      <c r="DC76" s="69">
        <f>SUM(SUM(I80:L80)*$CY$108, SUM(I187:L187)*$CY$109, SUM(I294:L294)*$CY$110, SUM(I401:L401)*$CY$111, SUM(I508:L508)*$CY$112, SUM(I615:L615)*$CY$113, SUM(I722:L722)*$CY$114)/config!$AC$16</f>
        <v>0</v>
      </c>
    </row>
    <row r="77" spans="1:107" ht="15" x14ac:dyDescent="0.25">
      <c r="A77" s="440" t="s">
        <v>107</v>
      </c>
      <c r="B77" s="642">
        <v>12</v>
      </c>
      <c r="C77" s="184">
        <v>0</v>
      </c>
      <c r="D77" s="184">
        <v>11</v>
      </c>
      <c r="E77" s="184">
        <v>0</v>
      </c>
      <c r="F77" s="184">
        <v>1</v>
      </c>
      <c r="G77" s="184">
        <v>0</v>
      </c>
      <c r="H77" s="184">
        <v>0</v>
      </c>
      <c r="I77" s="184">
        <v>0</v>
      </c>
      <c r="J77" s="184">
        <v>0</v>
      </c>
      <c r="K77" s="184">
        <v>0</v>
      </c>
      <c r="L77" s="184">
        <v>0</v>
      </c>
      <c r="M77" s="654" t="s">
        <v>24</v>
      </c>
      <c r="N77" s="670" t="s">
        <v>107</v>
      </c>
      <c r="O77" s="642">
        <v>0</v>
      </c>
      <c r="P77" s="184">
        <v>0</v>
      </c>
      <c r="Q77" s="184">
        <v>0</v>
      </c>
      <c r="R77" s="184">
        <v>1</v>
      </c>
      <c r="S77" s="184">
        <v>0</v>
      </c>
      <c r="T77" s="184">
        <v>2</v>
      </c>
      <c r="U77" s="184">
        <v>2</v>
      </c>
      <c r="V77" s="184">
        <v>3</v>
      </c>
      <c r="W77" s="184">
        <v>0</v>
      </c>
      <c r="X77" s="184">
        <v>4</v>
      </c>
      <c r="Y77" s="184">
        <v>0</v>
      </c>
      <c r="Z77" s="184">
        <v>0</v>
      </c>
      <c r="AA77" s="184">
        <v>0</v>
      </c>
      <c r="AB77" s="184">
        <v>0</v>
      </c>
      <c r="AC77" s="185">
        <v>41.5</v>
      </c>
      <c r="AD77" s="185">
        <v>50.5</v>
      </c>
      <c r="AE77" s="184">
        <v>0</v>
      </c>
      <c r="AF77" s="185">
        <v>0</v>
      </c>
      <c r="AG77" s="184">
        <v>0</v>
      </c>
      <c r="AH77" s="185">
        <v>0</v>
      </c>
      <c r="AI77" s="184">
        <v>0</v>
      </c>
      <c r="AJ77" s="643">
        <v>0</v>
      </c>
      <c r="AP77" s="401">
        <f t="shared" si="116"/>
        <v>5</v>
      </c>
      <c r="AR77" s="56">
        <f t="shared" si="117"/>
        <v>0.68749999999999967</v>
      </c>
      <c r="AS77" s="67">
        <f>SUM(C81,C188,C295,C402,C509,C616,C723)/config!$AC$13</f>
        <v>0.42857142857142855</v>
      </c>
      <c r="AT77" s="68">
        <f>SUM(D81:E81,D188:E188,D295:E295,D402:E402,D509:E509,D616:E616,D723:E723)/config!$AC$13</f>
        <v>11.285714285714286</v>
      </c>
      <c r="AU77" s="68">
        <f>SUM(F81:G81,F188:G188,F295:G295,F402:G402,F509:G509,F616:G616,F723:G723)/config!$AC$13</f>
        <v>0.7142857142857143</v>
      </c>
      <c r="AV77" s="68">
        <f>SUM(H81,H188,H295,H402,H509,H616,H723)/config!$AC$13</f>
        <v>0</v>
      </c>
      <c r="AW77" s="69">
        <f>SUM(I81:L81,I188:L188,I295:L295,I402:L402,I509:L509,I616:L616,I723:L723)/config!$AC$13</f>
        <v>0</v>
      </c>
      <c r="AY77" s="56">
        <f t="shared" si="118"/>
        <v>0.68749999999999967</v>
      </c>
      <c r="AZ77" s="70">
        <f t="shared" si="85"/>
        <v>15</v>
      </c>
      <c r="BA77" s="71">
        <f t="shared" si="86"/>
        <v>8</v>
      </c>
      <c r="BB77" s="71">
        <f t="shared" si="87"/>
        <v>17</v>
      </c>
      <c r="BC77" s="71">
        <f t="shared" si="88"/>
        <v>13</v>
      </c>
      <c r="BD77" s="71">
        <f t="shared" si="89"/>
        <v>10</v>
      </c>
      <c r="BE77" s="71">
        <f t="shared" si="90"/>
        <v>15</v>
      </c>
      <c r="BF77" s="72">
        <f t="shared" si="91"/>
        <v>9</v>
      </c>
      <c r="BG77" s="45"/>
      <c r="BH77" s="56">
        <f t="shared" si="92"/>
        <v>0.68749999999999967</v>
      </c>
      <c r="BI77" s="67">
        <f t="shared" si="93"/>
        <v>37.700000000000003</v>
      </c>
      <c r="BJ77" s="68">
        <f t="shared" si="94"/>
        <v>44.9</v>
      </c>
      <c r="BK77" s="68">
        <f t="shared" si="95"/>
        <v>37.200000000000003</v>
      </c>
      <c r="BL77" s="68">
        <f t="shared" si="96"/>
        <v>43.7</v>
      </c>
      <c r="BM77" s="68">
        <f t="shared" si="97"/>
        <v>43.2</v>
      </c>
      <c r="BN77" s="68">
        <f t="shared" si="98"/>
        <v>39.1</v>
      </c>
      <c r="BO77" s="69">
        <f t="shared" si="99"/>
        <v>46.1</v>
      </c>
      <c r="BP77" s="63"/>
      <c r="BQ77" s="64">
        <f t="shared" si="100"/>
        <v>0.68749999999999967</v>
      </c>
      <c r="BR77" s="67">
        <f t="shared" si="101"/>
        <v>44.8</v>
      </c>
      <c r="BS77" s="68" t="str">
        <f t="shared" si="102"/>
        <v/>
      </c>
      <c r="BT77" s="68">
        <f t="shared" si="103"/>
        <v>47.8</v>
      </c>
      <c r="BU77" s="68">
        <f t="shared" si="104"/>
        <v>52.5</v>
      </c>
      <c r="BV77" s="68" t="str">
        <f t="shared" si="105"/>
        <v/>
      </c>
      <c r="BW77" s="68">
        <f t="shared" si="106"/>
        <v>47.5</v>
      </c>
      <c r="BX77" s="69" t="str">
        <f t="shared" si="107"/>
        <v/>
      </c>
      <c r="BY77" s="65"/>
      <c r="BZ77" s="66">
        <f t="shared" si="119"/>
        <v>41.699999999999996</v>
      </c>
      <c r="CA77" s="414">
        <f t="shared" si="108"/>
        <v>48.15</v>
      </c>
      <c r="CB77" s="416">
        <f t="shared" ref="CB77:CB106" si="122">CB76</f>
        <v>60</v>
      </c>
      <c r="CC77" s="65"/>
      <c r="CD77" s="67">
        <f t="shared" si="109"/>
        <v>0</v>
      </c>
      <c r="CE77" s="68">
        <f t="shared" si="110"/>
        <v>0</v>
      </c>
      <c r="CF77" s="68">
        <f t="shared" si="111"/>
        <v>0</v>
      </c>
      <c r="CG77" s="68">
        <f t="shared" si="112"/>
        <v>1</v>
      </c>
      <c r="CH77" s="68">
        <f t="shared" si="113"/>
        <v>0</v>
      </c>
      <c r="CI77" s="68">
        <f t="shared" si="114"/>
        <v>0</v>
      </c>
      <c r="CJ77" s="69">
        <f t="shared" si="115"/>
        <v>0</v>
      </c>
      <c r="CM77" s="67">
        <f t="shared" si="120"/>
        <v>565.5</v>
      </c>
      <c r="CN77" s="68">
        <f t="shared" si="49"/>
        <v>359.2</v>
      </c>
      <c r="CO77" s="68">
        <f t="shared" si="50"/>
        <v>632.40000000000009</v>
      </c>
      <c r="CP77" s="68">
        <f t="shared" si="51"/>
        <v>568.1</v>
      </c>
      <c r="CQ77" s="68">
        <f t="shared" si="52"/>
        <v>432</v>
      </c>
      <c r="CR77" s="68">
        <f t="shared" si="53"/>
        <v>586.5</v>
      </c>
      <c r="CS77" s="69">
        <f t="shared" si="54"/>
        <v>414.90000000000003</v>
      </c>
      <c r="CU77" s="511">
        <f>SUM(SUMIF($AZ$8:$BF$8, {"NON";"NEUT"}, AZ77:BF77))/config!$AC$16</f>
        <v>12.4</v>
      </c>
      <c r="CV77" s="512">
        <f t="shared" si="121"/>
        <v>0.68749999999999967</v>
      </c>
      <c r="CY77" s="67">
        <f>SUM(C81*$CY$108, C188*$CY$109, C295*$CY$110, C402*$CY$111, C509*$CY$112, C616*$CY$113, C723*$CY$114)/config!$AC$16</f>
        <v>0.6</v>
      </c>
      <c r="CZ77" s="68">
        <f>SUM(SUM(D81:E81)*$CY$108, SUM(D188:E188)*$CY$109, SUM(D295:E295)*$CY$110, SUM(D402:E402)*$CY$111, SUM(D509:E509)*$CY$112, SUM(D616:E616)*$CY$113, SUM(D723:E723)*$CY$114)/config!$AC$16</f>
        <v>11</v>
      </c>
      <c r="DA77" s="68">
        <f>SUM(SUM(F81:G81)*$CY$108, SUM(F188:G188)*$CY$109, SUM(F295:G295)*$CY$110, SUM(F402:G402)*$CY$111, SUM(F509:G509)*$CY$112, SUM(F616:G616)*$CY$113, SUM(F723:G723)*$CY$114)/config!$AC$16</f>
        <v>0.8</v>
      </c>
      <c r="DB77" s="68">
        <f>SUM(H81*$CY$108, H188*$CY$109, H295*$CY$110, H402*$CY$111, H509*$CY$112, H616*$CY$113, H723*$CY$114)/config!$AC$16</f>
        <v>0</v>
      </c>
      <c r="DC77" s="69">
        <f>SUM(SUM(I81:L81)*$CY$108, SUM(I188:L188)*$CY$109, SUM(I295:L295)*$CY$110, SUM(I402:L402)*$CY$111, SUM(I509:L509)*$CY$112, SUM(I616:L616)*$CY$113, SUM(I723:L723)*$CY$114)/config!$AC$16</f>
        <v>0</v>
      </c>
    </row>
    <row r="78" spans="1:107" ht="15" x14ac:dyDescent="0.25">
      <c r="A78" s="440" t="s">
        <v>108</v>
      </c>
      <c r="B78" s="642">
        <v>10</v>
      </c>
      <c r="C78" s="184">
        <v>0</v>
      </c>
      <c r="D78" s="184">
        <v>9</v>
      </c>
      <c r="E78" s="184">
        <v>0</v>
      </c>
      <c r="F78" s="184">
        <v>1</v>
      </c>
      <c r="G78" s="184">
        <v>0</v>
      </c>
      <c r="H78" s="184">
        <v>0</v>
      </c>
      <c r="I78" s="184">
        <v>0</v>
      </c>
      <c r="J78" s="184">
        <v>0</v>
      </c>
      <c r="K78" s="184">
        <v>0</v>
      </c>
      <c r="L78" s="184">
        <v>0</v>
      </c>
      <c r="M78" s="654" t="s">
        <v>24</v>
      </c>
      <c r="N78" s="670" t="s">
        <v>108</v>
      </c>
      <c r="O78" s="642">
        <v>0</v>
      </c>
      <c r="P78" s="184">
        <v>0</v>
      </c>
      <c r="Q78" s="184">
        <v>0</v>
      </c>
      <c r="R78" s="184">
        <v>0</v>
      </c>
      <c r="S78" s="184">
        <v>0</v>
      </c>
      <c r="T78" s="184">
        <v>1</v>
      </c>
      <c r="U78" s="184">
        <v>3</v>
      </c>
      <c r="V78" s="184">
        <v>3</v>
      </c>
      <c r="W78" s="184">
        <v>2</v>
      </c>
      <c r="X78" s="184">
        <v>1</v>
      </c>
      <c r="Y78" s="184">
        <v>0</v>
      </c>
      <c r="Z78" s="184">
        <v>0</v>
      </c>
      <c r="AA78" s="184">
        <v>0</v>
      </c>
      <c r="AB78" s="184">
        <v>0</v>
      </c>
      <c r="AC78" s="185">
        <v>42.8</v>
      </c>
      <c r="AD78" s="185" t="s">
        <v>24</v>
      </c>
      <c r="AE78" s="184">
        <v>0</v>
      </c>
      <c r="AF78" s="185">
        <v>0</v>
      </c>
      <c r="AG78" s="184">
        <v>0</v>
      </c>
      <c r="AH78" s="185">
        <v>0</v>
      </c>
      <c r="AI78" s="184">
        <v>0</v>
      </c>
      <c r="AJ78" s="643">
        <v>0</v>
      </c>
      <c r="AP78" s="401">
        <f t="shared" si="116"/>
        <v>7</v>
      </c>
      <c r="AR78" s="56">
        <f t="shared" si="117"/>
        <v>0.6979166666666663</v>
      </c>
      <c r="AS78" s="67">
        <f>SUM(C82,C189,C296,C403,C510,C617,C724)/config!$AC$13</f>
        <v>0.2857142857142857</v>
      </c>
      <c r="AT78" s="68">
        <f>SUM(D82:E82,D189:E189,D296:E296,D403:E403,D510:E510,D617:E617,D724:E724)/config!$AC$13</f>
        <v>10</v>
      </c>
      <c r="AU78" s="68">
        <f>SUM(F82:G82,F189:G189,F296:G296,F403:G403,F510:G510,F617:G617,F724:G724)/config!$AC$13</f>
        <v>1</v>
      </c>
      <c r="AV78" s="68">
        <f>SUM(H82,H189,H296,H403,H510,H617,H724)/config!$AC$13</f>
        <v>0</v>
      </c>
      <c r="AW78" s="69">
        <f>SUM(I82:L82,I189:L189,I296:L296,I403:L403,I510:L510,I617:L617,I724:L724)/config!$AC$13</f>
        <v>0</v>
      </c>
      <c r="AY78" s="56">
        <f t="shared" si="118"/>
        <v>0.6979166666666663</v>
      </c>
      <c r="AZ78" s="70">
        <f t="shared" si="85"/>
        <v>6</v>
      </c>
      <c r="BA78" s="71">
        <f t="shared" si="86"/>
        <v>13</v>
      </c>
      <c r="BB78" s="71">
        <f t="shared" si="87"/>
        <v>9</v>
      </c>
      <c r="BC78" s="71">
        <f t="shared" si="88"/>
        <v>11</v>
      </c>
      <c r="BD78" s="71">
        <f t="shared" si="89"/>
        <v>15</v>
      </c>
      <c r="BE78" s="71">
        <f t="shared" si="90"/>
        <v>15</v>
      </c>
      <c r="BF78" s="72">
        <f t="shared" si="91"/>
        <v>10</v>
      </c>
      <c r="BG78" s="45"/>
      <c r="BH78" s="56">
        <f t="shared" si="92"/>
        <v>0.6979166666666663</v>
      </c>
      <c r="BI78" s="67">
        <f t="shared" si="93"/>
        <v>41</v>
      </c>
      <c r="BJ78" s="68">
        <f t="shared" si="94"/>
        <v>39.1</v>
      </c>
      <c r="BK78" s="68">
        <f t="shared" si="95"/>
        <v>39.700000000000003</v>
      </c>
      <c r="BL78" s="68">
        <f t="shared" si="96"/>
        <v>43.2</v>
      </c>
      <c r="BM78" s="68">
        <f t="shared" si="97"/>
        <v>37.700000000000003</v>
      </c>
      <c r="BN78" s="68">
        <f t="shared" si="98"/>
        <v>40.1</v>
      </c>
      <c r="BO78" s="69">
        <f t="shared" si="99"/>
        <v>39.700000000000003</v>
      </c>
      <c r="BP78" s="63"/>
      <c r="BQ78" s="64">
        <f t="shared" si="100"/>
        <v>0.6979166666666663</v>
      </c>
      <c r="BR78" s="67" t="str">
        <f t="shared" si="101"/>
        <v/>
      </c>
      <c r="BS78" s="68">
        <f t="shared" si="102"/>
        <v>45.7</v>
      </c>
      <c r="BT78" s="68" t="str">
        <f t="shared" si="103"/>
        <v/>
      </c>
      <c r="BU78" s="68">
        <f t="shared" si="104"/>
        <v>51.7</v>
      </c>
      <c r="BV78" s="68">
        <f t="shared" si="105"/>
        <v>43.9</v>
      </c>
      <c r="BW78" s="68">
        <f t="shared" si="106"/>
        <v>53.1</v>
      </c>
      <c r="BX78" s="69" t="str">
        <f t="shared" si="107"/>
        <v/>
      </c>
      <c r="BY78" s="65"/>
      <c r="BZ78" s="66">
        <f t="shared" si="119"/>
        <v>40.071428571428569</v>
      </c>
      <c r="CA78" s="414">
        <f t="shared" si="108"/>
        <v>48.6</v>
      </c>
      <c r="CB78" s="416">
        <f t="shared" si="122"/>
        <v>60</v>
      </c>
      <c r="CC78" s="65"/>
      <c r="CD78" s="67">
        <f t="shared" si="109"/>
        <v>0</v>
      </c>
      <c r="CE78" s="68">
        <f t="shared" si="110"/>
        <v>0</v>
      </c>
      <c r="CF78" s="68">
        <f t="shared" si="111"/>
        <v>0</v>
      </c>
      <c r="CG78" s="68">
        <f t="shared" si="112"/>
        <v>1</v>
      </c>
      <c r="CH78" s="68">
        <f t="shared" si="113"/>
        <v>0</v>
      </c>
      <c r="CI78" s="68">
        <f t="shared" si="114"/>
        <v>0</v>
      </c>
      <c r="CJ78" s="69">
        <f t="shared" si="115"/>
        <v>0</v>
      </c>
      <c r="CM78" s="67">
        <f t="shared" si="120"/>
        <v>246</v>
      </c>
      <c r="CN78" s="68">
        <f t="shared" si="49"/>
        <v>508.3</v>
      </c>
      <c r="CO78" s="68">
        <f t="shared" si="50"/>
        <v>357.3</v>
      </c>
      <c r="CP78" s="68">
        <f t="shared" si="51"/>
        <v>475.20000000000005</v>
      </c>
      <c r="CQ78" s="68">
        <f t="shared" si="52"/>
        <v>565.5</v>
      </c>
      <c r="CR78" s="68">
        <f t="shared" si="53"/>
        <v>601.5</v>
      </c>
      <c r="CS78" s="69">
        <f t="shared" si="54"/>
        <v>397</v>
      </c>
      <c r="CU78" s="511">
        <f>SUM(SUMIF($AZ$8:$BF$8, {"NON";"NEUT"}, AZ78:BF78))/config!$AC$16</f>
        <v>9.8000000000000007</v>
      </c>
      <c r="CV78" s="512">
        <f t="shared" si="121"/>
        <v>0.6979166666666663</v>
      </c>
      <c r="CY78" s="67">
        <f>SUM(C82*$CY$108, C189*$CY$109, C296*$CY$110, C403*$CY$111, C510*$CY$112, C617*$CY$113, C724*$CY$114)/config!$AC$16</f>
        <v>0.4</v>
      </c>
      <c r="CZ78" s="68">
        <f>SUM(SUM(D82:E82)*$CY$108, SUM(D189:E189)*$CY$109, SUM(D296:E296)*$CY$110, SUM(D403:E403)*$CY$111, SUM(D510:E510)*$CY$112, SUM(D617:E617)*$CY$113, SUM(D724:E724)*$CY$114)/config!$AC$16</f>
        <v>8.1999999999999993</v>
      </c>
      <c r="DA78" s="68">
        <f>SUM(SUM(F82:G82)*$CY$108, SUM(F189:G189)*$CY$109, SUM(F296:G296)*$CY$110, SUM(F403:G403)*$CY$111, SUM(F510:G510)*$CY$112, SUM(F617:G617)*$CY$113, SUM(F724:G724)*$CY$114)/config!$AC$16</f>
        <v>1.2</v>
      </c>
      <c r="DB78" s="68">
        <f>SUM(H82*$CY$108, H189*$CY$109, H296*$CY$110, H403*$CY$111, H510*$CY$112, H617*$CY$113, H724*$CY$114)/config!$AC$16</f>
        <v>0</v>
      </c>
      <c r="DC78" s="69">
        <f>SUM(SUM(I82:L82)*$CY$108, SUM(I189:L189)*$CY$109, SUM(I296:L296)*$CY$110, SUM(I403:L403)*$CY$111, SUM(I510:L510)*$CY$112, SUM(I617:L617)*$CY$113, SUM(I724:L724)*$CY$114)/config!$AC$16</f>
        <v>0</v>
      </c>
    </row>
    <row r="79" spans="1:107" ht="15" x14ac:dyDescent="0.25">
      <c r="A79" s="440" t="s">
        <v>65</v>
      </c>
      <c r="B79" s="646">
        <v>4</v>
      </c>
      <c r="C79" s="186">
        <v>0</v>
      </c>
      <c r="D79" s="186">
        <v>4</v>
      </c>
      <c r="E79" s="186">
        <v>0</v>
      </c>
      <c r="F79" s="186">
        <v>0</v>
      </c>
      <c r="G79" s="186">
        <v>0</v>
      </c>
      <c r="H79" s="186">
        <v>0</v>
      </c>
      <c r="I79" s="186">
        <v>0</v>
      </c>
      <c r="J79" s="186">
        <v>0</v>
      </c>
      <c r="K79" s="186">
        <v>0</v>
      </c>
      <c r="L79" s="186">
        <v>0</v>
      </c>
      <c r="M79" s="656" t="s">
        <v>24</v>
      </c>
      <c r="N79" s="670" t="s">
        <v>65</v>
      </c>
      <c r="O79" s="646">
        <v>0</v>
      </c>
      <c r="P79" s="186">
        <v>0</v>
      </c>
      <c r="Q79" s="186">
        <v>0</v>
      </c>
      <c r="R79" s="186">
        <v>0</v>
      </c>
      <c r="S79" s="186">
        <v>0</v>
      </c>
      <c r="T79" s="186">
        <v>1</v>
      </c>
      <c r="U79" s="186">
        <v>1</v>
      </c>
      <c r="V79" s="186">
        <v>2</v>
      </c>
      <c r="W79" s="186">
        <v>0</v>
      </c>
      <c r="X79" s="186">
        <v>0</v>
      </c>
      <c r="Y79" s="186">
        <v>0</v>
      </c>
      <c r="Z79" s="186">
        <v>0</v>
      </c>
      <c r="AA79" s="186">
        <v>0</v>
      </c>
      <c r="AB79" s="186">
        <v>0</v>
      </c>
      <c r="AC79" s="187">
        <v>39.6</v>
      </c>
      <c r="AD79" s="187" t="s">
        <v>24</v>
      </c>
      <c r="AE79" s="186">
        <v>0</v>
      </c>
      <c r="AF79" s="187">
        <v>0</v>
      </c>
      <c r="AG79" s="186">
        <v>0</v>
      </c>
      <c r="AH79" s="187">
        <v>0</v>
      </c>
      <c r="AI79" s="186">
        <v>0</v>
      </c>
      <c r="AJ79" s="647">
        <v>0</v>
      </c>
      <c r="AP79" s="401">
        <f t="shared" si="116"/>
        <v>6</v>
      </c>
      <c r="AR79" s="56">
        <f t="shared" si="117"/>
        <v>0.70833333333333293</v>
      </c>
      <c r="AS79" s="67">
        <f>SUM(C83,C190,C297,C404,C511,C618,C725)/config!$AC$13</f>
        <v>0</v>
      </c>
      <c r="AT79" s="68">
        <f>SUM(D83:E83,D190:E190,D297:E297,D404:E404,D511:E511,D618:E618,D725:E725)/config!$AC$13</f>
        <v>11.142857142857142</v>
      </c>
      <c r="AU79" s="68">
        <f>SUM(F83:G83,F190:G190,F297:G297,F404:G404,F511:G511,F618:G618,F725:G725)/config!$AC$13</f>
        <v>0.8571428571428571</v>
      </c>
      <c r="AV79" s="68">
        <f>SUM(H83,H190,H297,H404,H511,H618,H725)/config!$AC$13</f>
        <v>0</v>
      </c>
      <c r="AW79" s="69">
        <f>SUM(I83:L83,I190:L190,I297:L297,I404:L404,I511:L511,I618:L618,I725:L725)/config!$AC$13</f>
        <v>0</v>
      </c>
      <c r="AY79" s="56">
        <f t="shared" si="118"/>
        <v>0.70833333333333293</v>
      </c>
      <c r="AZ79" s="70">
        <f t="shared" si="85"/>
        <v>15</v>
      </c>
      <c r="BA79" s="71">
        <f t="shared" si="86"/>
        <v>15</v>
      </c>
      <c r="BB79" s="71">
        <f t="shared" si="87"/>
        <v>12</v>
      </c>
      <c r="BC79" s="71">
        <f t="shared" si="88"/>
        <v>12</v>
      </c>
      <c r="BD79" s="71">
        <f t="shared" si="89"/>
        <v>6</v>
      </c>
      <c r="BE79" s="71">
        <f t="shared" si="90"/>
        <v>9</v>
      </c>
      <c r="BF79" s="72">
        <f t="shared" si="91"/>
        <v>15</v>
      </c>
      <c r="BG79" s="45"/>
      <c r="BH79" s="56">
        <f t="shared" si="92"/>
        <v>0.70833333333333293</v>
      </c>
      <c r="BI79" s="67">
        <f t="shared" si="93"/>
        <v>36.799999999999997</v>
      </c>
      <c r="BJ79" s="68">
        <f t="shared" si="94"/>
        <v>45.7</v>
      </c>
      <c r="BK79" s="68">
        <f t="shared" si="95"/>
        <v>41.9</v>
      </c>
      <c r="BL79" s="68">
        <f t="shared" si="96"/>
        <v>39.4</v>
      </c>
      <c r="BM79" s="68">
        <f t="shared" si="97"/>
        <v>38.299999999999997</v>
      </c>
      <c r="BN79" s="68">
        <f t="shared" si="98"/>
        <v>38.5</v>
      </c>
      <c r="BO79" s="69">
        <f t="shared" si="99"/>
        <v>45.9</v>
      </c>
      <c r="BP79" s="63"/>
      <c r="BQ79" s="64">
        <f t="shared" si="100"/>
        <v>0.70833333333333293</v>
      </c>
      <c r="BR79" s="67">
        <f t="shared" si="101"/>
        <v>42.3</v>
      </c>
      <c r="BS79" s="68">
        <f t="shared" si="102"/>
        <v>51.9</v>
      </c>
      <c r="BT79" s="68">
        <f t="shared" si="103"/>
        <v>53</v>
      </c>
      <c r="BU79" s="68">
        <f t="shared" si="104"/>
        <v>47.7</v>
      </c>
      <c r="BV79" s="68" t="str">
        <f t="shared" si="105"/>
        <v/>
      </c>
      <c r="BW79" s="68" t="str">
        <f t="shared" si="106"/>
        <v/>
      </c>
      <c r="BX79" s="69">
        <f t="shared" si="107"/>
        <v>55.7</v>
      </c>
      <c r="BY79" s="65"/>
      <c r="BZ79" s="66">
        <f t="shared" si="119"/>
        <v>40.928571428571431</v>
      </c>
      <c r="CA79" s="414">
        <f t="shared" si="108"/>
        <v>50.11999999999999</v>
      </c>
      <c r="CB79" s="416">
        <f t="shared" si="122"/>
        <v>60</v>
      </c>
      <c r="CC79" s="65"/>
      <c r="CD79" s="67">
        <f t="shared" si="109"/>
        <v>1</v>
      </c>
      <c r="CE79" s="68">
        <f t="shared" si="110"/>
        <v>1</v>
      </c>
      <c r="CF79" s="68">
        <f t="shared" si="111"/>
        <v>0</v>
      </c>
      <c r="CG79" s="68">
        <f t="shared" si="112"/>
        <v>0</v>
      </c>
      <c r="CH79" s="68">
        <f t="shared" si="113"/>
        <v>0</v>
      </c>
      <c r="CI79" s="68">
        <f t="shared" si="114"/>
        <v>0</v>
      </c>
      <c r="CJ79" s="69">
        <f t="shared" si="115"/>
        <v>0</v>
      </c>
      <c r="CM79" s="67">
        <f t="shared" si="120"/>
        <v>552</v>
      </c>
      <c r="CN79" s="68">
        <f t="shared" si="49"/>
        <v>685.5</v>
      </c>
      <c r="CO79" s="68">
        <f t="shared" si="50"/>
        <v>502.79999999999995</v>
      </c>
      <c r="CP79" s="68">
        <f t="shared" si="51"/>
        <v>472.79999999999995</v>
      </c>
      <c r="CQ79" s="68">
        <f t="shared" si="52"/>
        <v>229.79999999999998</v>
      </c>
      <c r="CR79" s="68">
        <f t="shared" si="53"/>
        <v>346.5</v>
      </c>
      <c r="CS79" s="69">
        <f t="shared" si="54"/>
        <v>688.5</v>
      </c>
      <c r="CU79" s="511">
        <f>SUM(SUMIF($AZ$8:$BF$8, {"NON";"NEUT"}, AZ79:BF79))/config!$AC$16</f>
        <v>13.8</v>
      </c>
      <c r="CV79" s="512">
        <f t="shared" si="121"/>
        <v>0.70833333333333293</v>
      </c>
      <c r="CY79" s="67">
        <f>SUM(C83*$CY$108, C190*$CY$109, C297*$CY$110, C404*$CY$111, C511*$CY$112, C618*$CY$113, C725*$CY$114)/config!$AC$16</f>
        <v>0</v>
      </c>
      <c r="CZ79" s="68">
        <f>SUM(SUM(D83:E83)*$CY$108, SUM(D190:E190)*$CY$109, SUM(D297:E297)*$CY$110, SUM(D404:E404)*$CY$111, SUM(D511:E511)*$CY$112, SUM(D618:E618)*$CY$113, SUM(D725:E725)*$CY$114)/config!$AC$16</f>
        <v>12.6</v>
      </c>
      <c r="DA79" s="68">
        <f>SUM(SUM(F83:G83)*$CY$108, SUM(F190:G190)*$CY$109, SUM(F297:G297)*$CY$110, SUM(F404:G404)*$CY$111, SUM(F511:G511)*$CY$112, SUM(F618:G618)*$CY$113, SUM(F725:G725)*$CY$114)/config!$AC$16</f>
        <v>1.2</v>
      </c>
      <c r="DB79" s="68">
        <f>SUM(H83*$CY$108, H190*$CY$109, H297*$CY$110, H404*$CY$111, H511*$CY$112, H618*$CY$113, H725*$CY$114)/config!$AC$16</f>
        <v>0</v>
      </c>
      <c r="DC79" s="69">
        <f>SUM(SUM(I83:L83)*$CY$108, SUM(I190:L190)*$CY$109, SUM(I297:L297)*$CY$110, SUM(I404:L404)*$CY$111, SUM(I511:L511)*$CY$112, SUM(I618:L618)*$CY$113, SUM(I725:L725)*$CY$114)/config!$AC$16</f>
        <v>0</v>
      </c>
    </row>
    <row r="80" spans="1:107" ht="15" x14ac:dyDescent="0.25">
      <c r="A80" s="440" t="s">
        <v>109</v>
      </c>
      <c r="B80" s="642">
        <v>12</v>
      </c>
      <c r="C80" s="184">
        <v>1</v>
      </c>
      <c r="D80" s="184">
        <v>9</v>
      </c>
      <c r="E80" s="184">
        <v>0</v>
      </c>
      <c r="F80" s="184">
        <v>2</v>
      </c>
      <c r="G80" s="184">
        <v>0</v>
      </c>
      <c r="H80" s="184">
        <v>0</v>
      </c>
      <c r="I80" s="184">
        <v>0</v>
      </c>
      <c r="J80" s="184">
        <v>0</v>
      </c>
      <c r="K80" s="184">
        <v>0</v>
      </c>
      <c r="L80" s="184">
        <v>0</v>
      </c>
      <c r="M80" s="654" t="s">
        <v>24</v>
      </c>
      <c r="N80" s="670" t="s">
        <v>109</v>
      </c>
      <c r="O80" s="642">
        <v>0</v>
      </c>
      <c r="P80" s="184">
        <v>0</v>
      </c>
      <c r="Q80" s="184">
        <v>1</v>
      </c>
      <c r="R80" s="184">
        <v>0</v>
      </c>
      <c r="S80" s="184">
        <v>0</v>
      </c>
      <c r="T80" s="184">
        <v>1</v>
      </c>
      <c r="U80" s="184">
        <v>5</v>
      </c>
      <c r="V80" s="184">
        <v>2</v>
      </c>
      <c r="W80" s="184">
        <v>2</v>
      </c>
      <c r="X80" s="184">
        <v>1</v>
      </c>
      <c r="Y80" s="184">
        <v>0</v>
      </c>
      <c r="Z80" s="184">
        <v>0</v>
      </c>
      <c r="AA80" s="184">
        <v>0</v>
      </c>
      <c r="AB80" s="184">
        <v>0</v>
      </c>
      <c r="AC80" s="185">
        <v>38.799999999999997</v>
      </c>
      <c r="AD80" s="185">
        <v>45.7</v>
      </c>
      <c r="AE80" s="184">
        <v>0</v>
      </c>
      <c r="AF80" s="185">
        <v>0</v>
      </c>
      <c r="AG80" s="184">
        <v>0</v>
      </c>
      <c r="AH80" s="185">
        <v>0</v>
      </c>
      <c r="AI80" s="184">
        <v>0</v>
      </c>
      <c r="AJ80" s="643">
        <v>0</v>
      </c>
      <c r="AP80" s="401">
        <f t="shared" si="116"/>
        <v>9</v>
      </c>
      <c r="AR80" s="56">
        <f t="shared" si="117"/>
        <v>0.71874999999999956</v>
      </c>
      <c r="AS80" s="67">
        <f>SUM(C84,C191,C298,C405,C512,C619,C726)/config!$AC$13</f>
        <v>0</v>
      </c>
      <c r="AT80" s="68">
        <f>SUM(D84:E84,D191:E191,D298:E298,D405:E405,D512:E512,D619:E619,D726:E726)/config!$AC$13</f>
        <v>9.2857142857142865</v>
      </c>
      <c r="AU80" s="68">
        <f>SUM(F84:G84,F191:G191,F298:G298,F405:G405,F512:G512,F619:G619,F726:G726)/config!$AC$13</f>
        <v>1.2857142857142858</v>
      </c>
      <c r="AV80" s="68">
        <f>SUM(H84,H191,H298,H405,H512,H619,H726)/config!$AC$13</f>
        <v>0</v>
      </c>
      <c r="AW80" s="69">
        <f>SUM(I84:L84,I191:L191,I298:L298,I405:L405,I512:L512,I619:L619,I726:L726)/config!$AC$13</f>
        <v>0.14285714285714285</v>
      </c>
      <c r="AY80" s="56">
        <f t="shared" si="118"/>
        <v>0.71874999999999956</v>
      </c>
      <c r="AZ80" s="70">
        <f t="shared" si="85"/>
        <v>12</v>
      </c>
      <c r="BA80" s="71">
        <f t="shared" si="86"/>
        <v>10</v>
      </c>
      <c r="BB80" s="71">
        <f t="shared" si="87"/>
        <v>11</v>
      </c>
      <c r="BC80" s="71">
        <f t="shared" si="88"/>
        <v>10</v>
      </c>
      <c r="BD80" s="71">
        <f t="shared" si="89"/>
        <v>7</v>
      </c>
      <c r="BE80" s="71">
        <f t="shared" si="90"/>
        <v>15</v>
      </c>
      <c r="BF80" s="72">
        <f t="shared" si="91"/>
        <v>10</v>
      </c>
      <c r="BG80" s="45"/>
      <c r="BH80" s="56">
        <f t="shared" si="92"/>
        <v>0.71874999999999956</v>
      </c>
      <c r="BI80" s="67">
        <f t="shared" si="93"/>
        <v>42.6</v>
      </c>
      <c r="BJ80" s="68">
        <f t="shared" si="94"/>
        <v>38.799999999999997</v>
      </c>
      <c r="BK80" s="68">
        <f t="shared" si="95"/>
        <v>40.700000000000003</v>
      </c>
      <c r="BL80" s="68">
        <f t="shared" si="96"/>
        <v>41.3</v>
      </c>
      <c r="BM80" s="68">
        <f t="shared" si="97"/>
        <v>40.200000000000003</v>
      </c>
      <c r="BN80" s="68">
        <f t="shared" si="98"/>
        <v>38.5</v>
      </c>
      <c r="BO80" s="69">
        <f t="shared" si="99"/>
        <v>38.700000000000003</v>
      </c>
      <c r="BP80" s="63"/>
      <c r="BQ80" s="64">
        <f t="shared" si="100"/>
        <v>0.71874999999999956</v>
      </c>
      <c r="BR80" s="67">
        <f t="shared" si="101"/>
        <v>47.8</v>
      </c>
      <c r="BS80" s="68" t="str">
        <f t="shared" si="102"/>
        <v/>
      </c>
      <c r="BT80" s="68">
        <f t="shared" si="103"/>
        <v>46.6</v>
      </c>
      <c r="BU80" s="68" t="str">
        <f t="shared" si="104"/>
        <v/>
      </c>
      <c r="BV80" s="68" t="str">
        <f t="shared" si="105"/>
        <v/>
      </c>
      <c r="BW80" s="68">
        <f t="shared" si="106"/>
        <v>43.8</v>
      </c>
      <c r="BX80" s="69" t="str">
        <f t="shared" si="107"/>
        <v/>
      </c>
      <c r="BY80" s="65"/>
      <c r="BZ80" s="66">
        <f t="shared" si="119"/>
        <v>40.114285714285714</v>
      </c>
      <c r="CA80" s="414">
        <f t="shared" si="108"/>
        <v>46.066666666666663</v>
      </c>
      <c r="CB80" s="416">
        <f t="shared" si="122"/>
        <v>60</v>
      </c>
      <c r="CC80" s="65"/>
      <c r="CD80" s="67">
        <f t="shared" si="109"/>
        <v>0</v>
      </c>
      <c r="CE80" s="68">
        <f t="shared" si="110"/>
        <v>0</v>
      </c>
      <c r="CF80" s="68">
        <f t="shared" si="111"/>
        <v>0</v>
      </c>
      <c r="CG80" s="68">
        <f t="shared" si="112"/>
        <v>0</v>
      </c>
      <c r="CH80" s="68">
        <f t="shared" si="113"/>
        <v>1</v>
      </c>
      <c r="CI80" s="68">
        <f t="shared" si="114"/>
        <v>0</v>
      </c>
      <c r="CJ80" s="69">
        <f t="shared" si="115"/>
        <v>0</v>
      </c>
      <c r="CM80" s="67">
        <f t="shared" si="120"/>
        <v>511.20000000000005</v>
      </c>
      <c r="CN80" s="68">
        <f t="shared" si="49"/>
        <v>388</v>
      </c>
      <c r="CO80" s="68">
        <f t="shared" si="50"/>
        <v>447.70000000000005</v>
      </c>
      <c r="CP80" s="68">
        <f t="shared" si="51"/>
        <v>413</v>
      </c>
      <c r="CQ80" s="68">
        <f t="shared" si="52"/>
        <v>281.40000000000003</v>
      </c>
      <c r="CR80" s="68">
        <f t="shared" si="53"/>
        <v>577.5</v>
      </c>
      <c r="CS80" s="69">
        <f t="shared" si="54"/>
        <v>387</v>
      </c>
      <c r="CU80" s="511">
        <f>SUM(SUMIF($AZ$8:$BF$8, {"NON";"NEUT"}, AZ80:BF80))/config!$AC$16</f>
        <v>10.6</v>
      </c>
      <c r="CV80" s="512">
        <f t="shared" si="121"/>
        <v>0.71874999999999956</v>
      </c>
      <c r="CY80" s="67">
        <f>SUM(C84*$CY$108, C191*$CY$109, C298*$CY$110, C405*$CY$111, C512*$CY$112, C619*$CY$113, C726*$CY$114)/config!$AC$16</f>
        <v>0</v>
      </c>
      <c r="CZ80" s="68">
        <f>SUM(SUM(D84:E84)*$CY$108, SUM(D191:E191)*$CY$109, SUM(D298:E298)*$CY$110, SUM(D405:E405)*$CY$111, SUM(D512:E512)*$CY$112, SUM(D619:E619)*$CY$113, SUM(D726:E726)*$CY$114)/config!$AC$16</f>
        <v>9</v>
      </c>
      <c r="DA80" s="68">
        <f>SUM(SUM(F84:G84)*$CY$108, SUM(F191:G191)*$CY$109, SUM(F298:G298)*$CY$110, SUM(F405:G405)*$CY$111, SUM(F512:G512)*$CY$112, SUM(F619:G619)*$CY$113, SUM(F726:G726)*$CY$114)/config!$AC$16</f>
        <v>1.4</v>
      </c>
      <c r="DB80" s="68">
        <f>SUM(H84*$CY$108, H191*$CY$109, H298*$CY$110, H405*$CY$111, H512*$CY$112, H619*$CY$113, H726*$CY$114)/config!$AC$16</f>
        <v>0</v>
      </c>
      <c r="DC80" s="69">
        <f>SUM(SUM(I84:L84)*$CY$108, SUM(I191:L191)*$CY$109, SUM(I298:L298)*$CY$110, SUM(I405:L405)*$CY$111, SUM(I512:L512)*$CY$112, SUM(I619:L619)*$CY$113, SUM(I726:L726)*$CY$114)/config!$AC$16</f>
        <v>0.2</v>
      </c>
    </row>
    <row r="81" spans="1:107" ht="15" x14ac:dyDescent="0.25">
      <c r="A81" s="440" t="s">
        <v>110</v>
      </c>
      <c r="B81" s="642">
        <v>15</v>
      </c>
      <c r="C81" s="184">
        <v>1</v>
      </c>
      <c r="D81" s="184">
        <v>12</v>
      </c>
      <c r="E81" s="184">
        <v>1</v>
      </c>
      <c r="F81" s="184">
        <v>1</v>
      </c>
      <c r="G81" s="184">
        <v>0</v>
      </c>
      <c r="H81" s="184">
        <v>0</v>
      </c>
      <c r="I81" s="184">
        <v>0</v>
      </c>
      <c r="J81" s="184">
        <v>0</v>
      </c>
      <c r="K81" s="184">
        <v>0</v>
      </c>
      <c r="L81" s="184">
        <v>0</v>
      </c>
      <c r="M81" s="654" t="s">
        <v>24</v>
      </c>
      <c r="N81" s="670" t="s">
        <v>110</v>
      </c>
      <c r="O81" s="642">
        <v>0</v>
      </c>
      <c r="P81" s="184">
        <v>0</v>
      </c>
      <c r="Q81" s="184">
        <v>0</v>
      </c>
      <c r="R81" s="184">
        <v>0</v>
      </c>
      <c r="S81" s="184">
        <v>1</v>
      </c>
      <c r="T81" s="184">
        <v>3</v>
      </c>
      <c r="U81" s="184">
        <v>6</v>
      </c>
      <c r="V81" s="184">
        <v>3</v>
      </c>
      <c r="W81" s="184">
        <v>2</v>
      </c>
      <c r="X81" s="184">
        <v>0</v>
      </c>
      <c r="Y81" s="184">
        <v>0</v>
      </c>
      <c r="Z81" s="184">
        <v>0</v>
      </c>
      <c r="AA81" s="184">
        <v>0</v>
      </c>
      <c r="AB81" s="184">
        <v>0</v>
      </c>
      <c r="AC81" s="185">
        <v>37.700000000000003</v>
      </c>
      <c r="AD81" s="185">
        <v>44.8</v>
      </c>
      <c r="AE81" s="184">
        <v>0</v>
      </c>
      <c r="AF81" s="185">
        <v>0</v>
      </c>
      <c r="AG81" s="184">
        <v>0</v>
      </c>
      <c r="AH81" s="185">
        <v>0</v>
      </c>
      <c r="AI81" s="184">
        <v>0</v>
      </c>
      <c r="AJ81" s="643">
        <v>0</v>
      </c>
      <c r="AP81" s="401">
        <f t="shared" si="116"/>
        <v>3</v>
      </c>
      <c r="AR81" s="56">
        <f t="shared" si="117"/>
        <v>0.72916666666666619</v>
      </c>
      <c r="AS81" s="67">
        <f>SUM(C85,C192,C299,C406,C513,C620,C727)/config!$AC$13</f>
        <v>0.5714285714285714</v>
      </c>
      <c r="AT81" s="68">
        <f>SUM(D85:E85,D192:E192,D299:E299,D406:E406,D513:E513,D620:E620,D727:E727)/config!$AC$13</f>
        <v>8.8571428571428577</v>
      </c>
      <c r="AU81" s="68">
        <f>SUM(F85:G85,F192:G192,F299:G299,F406:G406,F513:G513,F620:G620,F727:G727)/config!$AC$13</f>
        <v>0.42857142857142855</v>
      </c>
      <c r="AV81" s="68">
        <f>SUM(H85,H192,H299,H406,H513,H620,H727)/config!$AC$13</f>
        <v>0</v>
      </c>
      <c r="AW81" s="69">
        <f>SUM(I85:L85,I192:L192,I299:L299,I406:L406,I513:L513,I620:L620,I727:L727)/config!$AC$13</f>
        <v>0</v>
      </c>
      <c r="AY81" s="56">
        <f t="shared" si="118"/>
        <v>0.72916666666666619</v>
      </c>
      <c r="AZ81" s="70">
        <f t="shared" si="85"/>
        <v>11</v>
      </c>
      <c r="BA81" s="71">
        <f t="shared" si="86"/>
        <v>8</v>
      </c>
      <c r="BB81" s="71">
        <f t="shared" si="87"/>
        <v>8</v>
      </c>
      <c r="BC81" s="71">
        <f t="shared" si="88"/>
        <v>12</v>
      </c>
      <c r="BD81" s="71">
        <f t="shared" si="89"/>
        <v>5</v>
      </c>
      <c r="BE81" s="71">
        <f t="shared" si="90"/>
        <v>10</v>
      </c>
      <c r="BF81" s="72">
        <f t="shared" si="91"/>
        <v>15</v>
      </c>
      <c r="BG81" s="45"/>
      <c r="BH81" s="56">
        <f t="shared" si="92"/>
        <v>0.72916666666666619</v>
      </c>
      <c r="BI81" s="67">
        <f t="shared" si="93"/>
        <v>40.9</v>
      </c>
      <c r="BJ81" s="68">
        <f t="shared" si="94"/>
        <v>42.4</v>
      </c>
      <c r="BK81" s="68">
        <f t="shared" si="95"/>
        <v>43.3</v>
      </c>
      <c r="BL81" s="68">
        <f t="shared" si="96"/>
        <v>39</v>
      </c>
      <c r="BM81" s="68">
        <f t="shared" si="97"/>
        <v>40.4</v>
      </c>
      <c r="BN81" s="68">
        <f t="shared" si="98"/>
        <v>40.799999999999997</v>
      </c>
      <c r="BO81" s="69">
        <f t="shared" si="99"/>
        <v>39</v>
      </c>
      <c r="BP81" s="63"/>
      <c r="BQ81" s="64">
        <f t="shared" si="100"/>
        <v>0.72916666666666619</v>
      </c>
      <c r="BR81" s="67">
        <f t="shared" si="101"/>
        <v>48.7</v>
      </c>
      <c r="BS81" s="68" t="str">
        <f t="shared" si="102"/>
        <v/>
      </c>
      <c r="BT81" s="68" t="str">
        <f t="shared" si="103"/>
        <v/>
      </c>
      <c r="BU81" s="68">
        <f t="shared" si="104"/>
        <v>48.4</v>
      </c>
      <c r="BV81" s="68" t="str">
        <f t="shared" si="105"/>
        <v/>
      </c>
      <c r="BW81" s="68" t="str">
        <f t="shared" si="106"/>
        <v/>
      </c>
      <c r="BX81" s="69">
        <f t="shared" si="107"/>
        <v>49.7</v>
      </c>
      <c r="BY81" s="65"/>
      <c r="BZ81" s="66">
        <f t="shared" si="119"/>
        <v>40.828571428571429</v>
      </c>
      <c r="CA81" s="414">
        <f t="shared" si="108"/>
        <v>48.933333333333337</v>
      </c>
      <c r="CB81" s="416">
        <f t="shared" si="122"/>
        <v>60</v>
      </c>
      <c r="CC81" s="65"/>
      <c r="CD81" s="67">
        <f t="shared" si="109"/>
        <v>0</v>
      </c>
      <c r="CE81" s="68">
        <f t="shared" si="110"/>
        <v>0</v>
      </c>
      <c r="CF81" s="68">
        <f t="shared" si="111"/>
        <v>0</v>
      </c>
      <c r="CG81" s="68">
        <f t="shared" si="112"/>
        <v>0</v>
      </c>
      <c r="CH81" s="68">
        <f t="shared" si="113"/>
        <v>0</v>
      </c>
      <c r="CI81" s="68">
        <f t="shared" si="114"/>
        <v>0</v>
      </c>
      <c r="CJ81" s="69">
        <f t="shared" si="115"/>
        <v>0</v>
      </c>
      <c r="CM81" s="67">
        <f t="shared" si="120"/>
        <v>449.9</v>
      </c>
      <c r="CN81" s="68">
        <f t="shared" si="49"/>
        <v>339.2</v>
      </c>
      <c r="CO81" s="68">
        <f t="shared" si="50"/>
        <v>346.4</v>
      </c>
      <c r="CP81" s="68">
        <f t="shared" si="51"/>
        <v>468</v>
      </c>
      <c r="CQ81" s="68">
        <f t="shared" si="52"/>
        <v>202</v>
      </c>
      <c r="CR81" s="68">
        <f t="shared" si="53"/>
        <v>408</v>
      </c>
      <c r="CS81" s="69">
        <f t="shared" si="54"/>
        <v>585</v>
      </c>
      <c r="CU81" s="511">
        <f>SUM(SUMIF($AZ$8:$BF$8, {"NON";"NEUT"}, AZ81:BF81))/config!$AC$16</f>
        <v>10.8</v>
      </c>
      <c r="CV81" s="512">
        <f t="shared" si="121"/>
        <v>0.72916666666666619</v>
      </c>
      <c r="CY81" s="67">
        <f>SUM(C85*$CY$108, C192*$CY$109, C299*$CY$110, C406*$CY$111, C513*$CY$112, C620*$CY$113, C727*$CY$114)/config!$AC$16</f>
        <v>0.8</v>
      </c>
      <c r="CZ81" s="68">
        <f>SUM(SUM(D85:E85)*$CY$108, SUM(D192:E192)*$CY$109, SUM(D299:E299)*$CY$110, SUM(D406:E406)*$CY$111, SUM(D513:E513)*$CY$112, SUM(D620:E620)*$CY$113, SUM(D727:E727)*$CY$114)/config!$AC$16</f>
        <v>9.6</v>
      </c>
      <c r="DA81" s="68">
        <f>SUM(SUM(F85:G85)*$CY$108, SUM(F192:G192)*$CY$109, SUM(F299:G299)*$CY$110, SUM(F406:G406)*$CY$111, SUM(F513:G513)*$CY$112, SUM(F620:G620)*$CY$113, SUM(F727:G727)*$CY$114)/config!$AC$16</f>
        <v>0.4</v>
      </c>
      <c r="DB81" s="68">
        <f>SUM(H85*$CY$108, H192*$CY$109, H299*$CY$110, H406*$CY$111, H513*$CY$112, H620*$CY$113, H727*$CY$114)/config!$AC$16</f>
        <v>0</v>
      </c>
      <c r="DC81" s="69">
        <f>SUM(SUM(I85:L85)*$CY$108, SUM(I192:L192)*$CY$109, SUM(I299:L299)*$CY$110, SUM(I406:L406)*$CY$111, SUM(I513:L513)*$CY$112, SUM(I620:L620)*$CY$113, SUM(I727:L727)*$CY$114)/config!$AC$16</f>
        <v>0</v>
      </c>
    </row>
    <row r="82" spans="1:107" ht="15" x14ac:dyDescent="0.25">
      <c r="A82" s="440" t="s">
        <v>111</v>
      </c>
      <c r="B82" s="642">
        <v>6</v>
      </c>
      <c r="C82" s="184">
        <v>0</v>
      </c>
      <c r="D82" s="184">
        <v>6</v>
      </c>
      <c r="E82" s="184">
        <v>0</v>
      </c>
      <c r="F82" s="184">
        <v>0</v>
      </c>
      <c r="G82" s="184">
        <v>0</v>
      </c>
      <c r="H82" s="184">
        <v>0</v>
      </c>
      <c r="I82" s="184">
        <v>0</v>
      </c>
      <c r="J82" s="184">
        <v>0</v>
      </c>
      <c r="K82" s="184">
        <v>0</v>
      </c>
      <c r="L82" s="184">
        <v>0</v>
      </c>
      <c r="M82" s="654" t="s">
        <v>24</v>
      </c>
      <c r="N82" s="670" t="s">
        <v>111</v>
      </c>
      <c r="O82" s="642">
        <v>0</v>
      </c>
      <c r="P82" s="184">
        <v>0</v>
      </c>
      <c r="Q82" s="184">
        <v>0</v>
      </c>
      <c r="R82" s="184">
        <v>0</v>
      </c>
      <c r="S82" s="184">
        <v>0</v>
      </c>
      <c r="T82" s="184">
        <v>0</v>
      </c>
      <c r="U82" s="184">
        <v>4</v>
      </c>
      <c r="V82" s="184">
        <v>1</v>
      </c>
      <c r="W82" s="184">
        <v>1</v>
      </c>
      <c r="X82" s="184">
        <v>0</v>
      </c>
      <c r="Y82" s="184">
        <v>0</v>
      </c>
      <c r="Z82" s="184">
        <v>0</v>
      </c>
      <c r="AA82" s="184">
        <v>0</v>
      </c>
      <c r="AB82" s="184">
        <v>0</v>
      </c>
      <c r="AC82" s="185">
        <v>41</v>
      </c>
      <c r="AD82" s="185" t="s">
        <v>24</v>
      </c>
      <c r="AE82" s="184">
        <v>0</v>
      </c>
      <c r="AF82" s="185">
        <v>0</v>
      </c>
      <c r="AG82" s="184">
        <v>0</v>
      </c>
      <c r="AH82" s="185">
        <v>0</v>
      </c>
      <c r="AI82" s="184">
        <v>0</v>
      </c>
      <c r="AJ82" s="643">
        <v>0</v>
      </c>
      <c r="AP82" s="401">
        <f t="shared" si="116"/>
        <v>4</v>
      </c>
      <c r="AR82" s="56">
        <f t="shared" si="117"/>
        <v>0.73958333333333282</v>
      </c>
      <c r="AS82" s="67">
        <f>SUM(C86,C193,C300,C407,C514,C621,C728)/config!$AC$13</f>
        <v>0</v>
      </c>
      <c r="AT82" s="68">
        <f>SUM(D86:E86,D193:E193,D300:E300,D407:E407,D514:E514,D621:E621,D728:E728)/config!$AC$13</f>
        <v>7.2857142857142856</v>
      </c>
      <c r="AU82" s="68">
        <f>SUM(F86:G86,F193:G193,F300:G300,F407:G407,F514:G514,F621:G621,F728:G728)/config!$AC$13</f>
        <v>0.7142857142857143</v>
      </c>
      <c r="AV82" s="68">
        <f>SUM(H86,H193,H300,H407,H514,H621,H728)/config!$AC$13</f>
        <v>0</v>
      </c>
      <c r="AW82" s="69">
        <f>SUM(I86:L86,I193:L193,I300:L300,I407:L407,I514:L514,I621:L621,I728:L728)/config!$AC$13</f>
        <v>0</v>
      </c>
      <c r="AY82" s="56">
        <f t="shared" si="118"/>
        <v>0.73958333333333282</v>
      </c>
      <c r="AZ82" s="70">
        <f t="shared" si="85"/>
        <v>11</v>
      </c>
      <c r="BA82" s="71">
        <f t="shared" si="86"/>
        <v>7</v>
      </c>
      <c r="BB82" s="71">
        <f t="shared" si="87"/>
        <v>8</v>
      </c>
      <c r="BC82" s="71">
        <f t="shared" si="88"/>
        <v>6</v>
      </c>
      <c r="BD82" s="71">
        <f t="shared" si="89"/>
        <v>3</v>
      </c>
      <c r="BE82" s="71">
        <f t="shared" si="90"/>
        <v>9</v>
      </c>
      <c r="BF82" s="72">
        <f t="shared" si="91"/>
        <v>12</v>
      </c>
      <c r="BG82" s="45"/>
      <c r="BH82" s="56">
        <f t="shared" si="92"/>
        <v>0.73958333333333282</v>
      </c>
      <c r="BI82" s="67">
        <f t="shared" si="93"/>
        <v>40.799999999999997</v>
      </c>
      <c r="BJ82" s="68">
        <f t="shared" si="94"/>
        <v>39</v>
      </c>
      <c r="BK82" s="68">
        <f t="shared" si="95"/>
        <v>42.3</v>
      </c>
      <c r="BL82" s="68">
        <f t="shared" si="96"/>
        <v>40.299999999999997</v>
      </c>
      <c r="BM82" s="68">
        <f t="shared" si="97"/>
        <v>36.1</v>
      </c>
      <c r="BN82" s="68">
        <f t="shared" si="98"/>
        <v>42.3</v>
      </c>
      <c r="BO82" s="69">
        <f t="shared" si="99"/>
        <v>40.6</v>
      </c>
      <c r="BP82" s="63"/>
      <c r="BQ82" s="64">
        <f t="shared" si="100"/>
        <v>0.73958333333333282</v>
      </c>
      <c r="BR82" s="67">
        <f t="shared" si="101"/>
        <v>44.8</v>
      </c>
      <c r="BS82" s="68" t="str">
        <f t="shared" si="102"/>
        <v/>
      </c>
      <c r="BT82" s="68" t="str">
        <f t="shared" si="103"/>
        <v/>
      </c>
      <c r="BU82" s="68" t="str">
        <f t="shared" si="104"/>
        <v/>
      </c>
      <c r="BV82" s="68" t="str">
        <f t="shared" si="105"/>
        <v/>
      </c>
      <c r="BW82" s="68" t="str">
        <f t="shared" si="106"/>
        <v/>
      </c>
      <c r="BX82" s="69">
        <f t="shared" si="107"/>
        <v>45.6</v>
      </c>
      <c r="BY82" s="65"/>
      <c r="BZ82" s="66">
        <f t="shared" si="119"/>
        <v>40.199999999999996</v>
      </c>
      <c r="CA82" s="414">
        <f t="shared" si="108"/>
        <v>45.2</v>
      </c>
      <c r="CB82" s="416">
        <f t="shared" si="122"/>
        <v>60</v>
      </c>
      <c r="CC82" s="65"/>
      <c r="CD82" s="67">
        <f t="shared" si="109"/>
        <v>0</v>
      </c>
      <c r="CE82" s="68">
        <f t="shared" si="110"/>
        <v>0</v>
      </c>
      <c r="CF82" s="68">
        <f t="shared" si="111"/>
        <v>0</v>
      </c>
      <c r="CG82" s="68">
        <f t="shared" si="112"/>
        <v>0</v>
      </c>
      <c r="CH82" s="68">
        <f t="shared" si="113"/>
        <v>0</v>
      </c>
      <c r="CI82" s="68">
        <f t="shared" si="114"/>
        <v>0</v>
      </c>
      <c r="CJ82" s="69">
        <f t="shared" si="115"/>
        <v>0</v>
      </c>
      <c r="CM82" s="67">
        <f t="shared" si="120"/>
        <v>448.79999999999995</v>
      </c>
      <c r="CN82" s="68">
        <f t="shared" si="49"/>
        <v>273</v>
      </c>
      <c r="CO82" s="68">
        <f t="shared" si="50"/>
        <v>338.4</v>
      </c>
      <c r="CP82" s="68">
        <f t="shared" si="51"/>
        <v>241.79999999999998</v>
      </c>
      <c r="CQ82" s="68">
        <f t="shared" si="52"/>
        <v>108.30000000000001</v>
      </c>
      <c r="CR82" s="68">
        <f t="shared" si="53"/>
        <v>380.7</v>
      </c>
      <c r="CS82" s="69">
        <f t="shared" si="54"/>
        <v>487.20000000000005</v>
      </c>
      <c r="CU82" s="511">
        <f>SUM(SUMIF($AZ$8:$BF$8, {"NON";"NEUT"}, AZ82:BF82))/config!$AC$16</f>
        <v>8.8000000000000007</v>
      </c>
      <c r="CV82" s="512">
        <f t="shared" si="121"/>
        <v>0.73958333333333282</v>
      </c>
      <c r="CY82" s="67">
        <f>SUM(C86*$CY$108, C193*$CY$109, C300*$CY$110, C407*$CY$111, C514*$CY$112, C621*$CY$113, C728*$CY$114)/config!$AC$16</f>
        <v>0</v>
      </c>
      <c r="CZ82" s="68">
        <f>SUM(SUM(D86:E86)*$CY$108, SUM(D193:E193)*$CY$109, SUM(D300:E300)*$CY$110, SUM(D407:E407)*$CY$111, SUM(D514:E514)*$CY$112, SUM(D621:E621)*$CY$113, SUM(D728:E728)*$CY$114)/config!$AC$16</f>
        <v>8</v>
      </c>
      <c r="DA82" s="68">
        <f>SUM(SUM(F86:G86)*$CY$108, SUM(F193:G193)*$CY$109, SUM(F300:G300)*$CY$110, SUM(F407:G407)*$CY$111, SUM(F514:G514)*$CY$112, SUM(F621:G621)*$CY$113, SUM(F728:G728)*$CY$114)/config!$AC$16</f>
        <v>0.8</v>
      </c>
      <c r="DB82" s="68">
        <f>SUM(H86*$CY$108, H193*$CY$109, H300*$CY$110, H407*$CY$111, H514*$CY$112, H621*$CY$113, H728*$CY$114)/config!$AC$16</f>
        <v>0</v>
      </c>
      <c r="DC82" s="69">
        <f>SUM(SUM(I86:L86)*$CY$108, SUM(I193:L193)*$CY$109, SUM(I300:L300)*$CY$110, SUM(I407:L407)*$CY$111, SUM(I514:L514)*$CY$112, SUM(I621:L621)*$CY$113, SUM(I728:L728)*$CY$114)/config!$AC$16</f>
        <v>0</v>
      </c>
    </row>
    <row r="83" spans="1:107" ht="15" x14ac:dyDescent="0.25">
      <c r="A83" s="440" t="s">
        <v>67</v>
      </c>
      <c r="B83" s="642">
        <v>15</v>
      </c>
      <c r="C83" s="184">
        <v>0</v>
      </c>
      <c r="D83" s="184">
        <v>13</v>
      </c>
      <c r="E83" s="184">
        <v>1</v>
      </c>
      <c r="F83" s="184">
        <v>1</v>
      </c>
      <c r="G83" s="184">
        <v>0</v>
      </c>
      <c r="H83" s="184">
        <v>0</v>
      </c>
      <c r="I83" s="184">
        <v>0</v>
      </c>
      <c r="J83" s="184">
        <v>0</v>
      </c>
      <c r="K83" s="184">
        <v>0</v>
      </c>
      <c r="L83" s="184">
        <v>0</v>
      </c>
      <c r="M83" s="654" t="s">
        <v>24</v>
      </c>
      <c r="N83" s="670" t="s">
        <v>67</v>
      </c>
      <c r="O83" s="642">
        <v>0</v>
      </c>
      <c r="P83" s="184">
        <v>0</v>
      </c>
      <c r="Q83" s="184">
        <v>0</v>
      </c>
      <c r="R83" s="184">
        <v>0</v>
      </c>
      <c r="S83" s="184">
        <v>3</v>
      </c>
      <c r="T83" s="184">
        <v>4</v>
      </c>
      <c r="U83" s="184">
        <v>4</v>
      </c>
      <c r="V83" s="184">
        <v>3</v>
      </c>
      <c r="W83" s="184">
        <v>0</v>
      </c>
      <c r="X83" s="184">
        <v>0</v>
      </c>
      <c r="Y83" s="184">
        <v>1</v>
      </c>
      <c r="Z83" s="184">
        <v>0</v>
      </c>
      <c r="AA83" s="184">
        <v>0</v>
      </c>
      <c r="AB83" s="184">
        <v>0</v>
      </c>
      <c r="AC83" s="185">
        <v>36.799999999999997</v>
      </c>
      <c r="AD83" s="185">
        <v>42.3</v>
      </c>
      <c r="AE83" s="184">
        <v>1</v>
      </c>
      <c r="AF83" s="185">
        <v>6.666666666666667</v>
      </c>
      <c r="AG83" s="184">
        <v>0</v>
      </c>
      <c r="AH83" s="185">
        <v>0</v>
      </c>
      <c r="AI83" s="184">
        <v>0</v>
      </c>
      <c r="AJ83" s="643">
        <v>0</v>
      </c>
      <c r="AP83" s="401">
        <f t="shared" si="116"/>
        <v>3</v>
      </c>
      <c r="AR83" s="56">
        <f t="shared" si="117"/>
        <v>0.74999999999999944</v>
      </c>
      <c r="AS83" s="67">
        <f>SUM(C87,C194,C301,C408,C515,C622,C729)/config!$AC$13</f>
        <v>0.14285714285714285</v>
      </c>
      <c r="AT83" s="68">
        <f>SUM(D87:E87,D194:E194,D301:E301,D408:E408,D515:E515,D622:E622,D729:E729)/config!$AC$13</f>
        <v>9.5714285714285712</v>
      </c>
      <c r="AU83" s="68">
        <f>SUM(F87:G87,F194:G194,F301:G301,F408:G408,F515:G515,F622:G622,F729:G729)/config!$AC$13</f>
        <v>0.42857142857142855</v>
      </c>
      <c r="AV83" s="68">
        <f>SUM(H87,H194,H301,H408,H515,H622,H729)/config!$AC$13</f>
        <v>0</v>
      </c>
      <c r="AW83" s="69">
        <f>SUM(I87:L87,I194:L194,I301:L301,I408:L408,I515:L515,I622:L622,I729:L729)/config!$AC$13</f>
        <v>0</v>
      </c>
      <c r="AY83" s="56">
        <f t="shared" si="118"/>
        <v>0.74999999999999944</v>
      </c>
      <c r="AZ83" s="70">
        <f t="shared" si="85"/>
        <v>12</v>
      </c>
      <c r="BA83" s="71">
        <f t="shared" si="86"/>
        <v>18</v>
      </c>
      <c r="BB83" s="71">
        <f t="shared" si="87"/>
        <v>10</v>
      </c>
      <c r="BC83" s="71">
        <f t="shared" si="88"/>
        <v>10</v>
      </c>
      <c r="BD83" s="71">
        <f t="shared" si="89"/>
        <v>4</v>
      </c>
      <c r="BE83" s="71">
        <f t="shared" si="90"/>
        <v>10</v>
      </c>
      <c r="BF83" s="72">
        <f t="shared" si="91"/>
        <v>7</v>
      </c>
      <c r="BG83" s="45"/>
      <c r="BH83" s="56">
        <f t="shared" si="92"/>
        <v>0.74999999999999944</v>
      </c>
      <c r="BI83" s="67">
        <f t="shared" si="93"/>
        <v>40.299999999999997</v>
      </c>
      <c r="BJ83" s="68">
        <f t="shared" si="94"/>
        <v>38.700000000000003</v>
      </c>
      <c r="BK83" s="68">
        <f t="shared" si="95"/>
        <v>43.9</v>
      </c>
      <c r="BL83" s="68">
        <f t="shared" si="96"/>
        <v>39.4</v>
      </c>
      <c r="BM83" s="68">
        <f t="shared" si="97"/>
        <v>40.1</v>
      </c>
      <c r="BN83" s="68">
        <f t="shared" si="98"/>
        <v>37.799999999999997</v>
      </c>
      <c r="BO83" s="69">
        <f t="shared" si="99"/>
        <v>48.1</v>
      </c>
      <c r="BP83" s="63"/>
      <c r="BQ83" s="64">
        <f t="shared" si="100"/>
        <v>0.74999999999999944</v>
      </c>
      <c r="BR83" s="67">
        <f t="shared" si="101"/>
        <v>50.9</v>
      </c>
      <c r="BS83" s="68">
        <f t="shared" si="102"/>
        <v>46.3</v>
      </c>
      <c r="BT83" s="68" t="str">
        <f t="shared" si="103"/>
        <v/>
      </c>
      <c r="BU83" s="68" t="str">
        <f t="shared" si="104"/>
        <v/>
      </c>
      <c r="BV83" s="68" t="str">
        <f t="shared" si="105"/>
        <v/>
      </c>
      <c r="BW83" s="68" t="str">
        <f t="shared" si="106"/>
        <v/>
      </c>
      <c r="BX83" s="69" t="str">
        <f t="shared" si="107"/>
        <v/>
      </c>
      <c r="BY83" s="65"/>
      <c r="BZ83" s="66">
        <f t="shared" si="119"/>
        <v>41.18571428571429</v>
      </c>
      <c r="CA83" s="414">
        <f t="shared" si="108"/>
        <v>48.599999999999994</v>
      </c>
      <c r="CB83" s="416">
        <f t="shared" si="122"/>
        <v>60</v>
      </c>
      <c r="CC83" s="65"/>
      <c r="CD83" s="67">
        <f t="shared" si="109"/>
        <v>0</v>
      </c>
      <c r="CE83" s="68">
        <f t="shared" si="110"/>
        <v>0</v>
      </c>
      <c r="CF83" s="68">
        <f t="shared" si="111"/>
        <v>0</v>
      </c>
      <c r="CG83" s="68">
        <f t="shared" si="112"/>
        <v>0</v>
      </c>
      <c r="CH83" s="68">
        <f t="shared" si="113"/>
        <v>0</v>
      </c>
      <c r="CI83" s="68">
        <f t="shared" si="114"/>
        <v>0</v>
      </c>
      <c r="CJ83" s="69">
        <f t="shared" si="115"/>
        <v>0</v>
      </c>
      <c r="CM83" s="67">
        <f t="shared" si="120"/>
        <v>483.59999999999997</v>
      </c>
      <c r="CN83" s="68">
        <f t="shared" si="49"/>
        <v>696.6</v>
      </c>
      <c r="CO83" s="68">
        <f t="shared" si="50"/>
        <v>439</v>
      </c>
      <c r="CP83" s="68">
        <f t="shared" si="51"/>
        <v>394</v>
      </c>
      <c r="CQ83" s="68">
        <f t="shared" si="52"/>
        <v>160.4</v>
      </c>
      <c r="CR83" s="68">
        <f t="shared" si="53"/>
        <v>378</v>
      </c>
      <c r="CS83" s="69">
        <f t="shared" si="54"/>
        <v>336.7</v>
      </c>
      <c r="CU83" s="511">
        <f>SUM(SUMIF($AZ$8:$BF$8, {"NON";"NEUT"}, AZ83:BF83))/config!$AC$16</f>
        <v>11.4</v>
      </c>
      <c r="CV83" s="512">
        <f t="shared" si="121"/>
        <v>0.74999999999999944</v>
      </c>
      <c r="CY83" s="67">
        <f>SUM(C87*$CY$108, C194*$CY$109, C301*$CY$110, C408*$CY$111, C515*$CY$112, C622*$CY$113, C729*$CY$114)/config!$AC$16</f>
        <v>0.2</v>
      </c>
      <c r="CZ83" s="68">
        <f>SUM(SUM(D87:E87)*$CY$108, SUM(D194:E194)*$CY$109, SUM(D301:E301)*$CY$110, SUM(D408:E408)*$CY$111, SUM(D515:E515)*$CY$112, SUM(D622:E622)*$CY$113, SUM(D729:E729)*$CY$114)/config!$AC$16</f>
        <v>10.8</v>
      </c>
      <c r="DA83" s="68">
        <f>SUM(SUM(F87:G87)*$CY$108, SUM(F194:G194)*$CY$109, SUM(F301:G301)*$CY$110, SUM(F408:G408)*$CY$111, SUM(F515:G515)*$CY$112, SUM(F622:G622)*$CY$113, SUM(F729:G729)*$CY$114)/config!$AC$16</f>
        <v>0.4</v>
      </c>
      <c r="DB83" s="68">
        <f>SUM(H87*$CY$108, H194*$CY$109, H301*$CY$110, H408*$CY$111, H515*$CY$112, H622*$CY$113, H729*$CY$114)/config!$AC$16</f>
        <v>0</v>
      </c>
      <c r="DC83" s="69">
        <f>SUM(SUM(I87:L87)*$CY$108, SUM(I194:L194)*$CY$109, SUM(I301:L301)*$CY$110, SUM(I408:L408)*$CY$111, SUM(I515:L515)*$CY$112, SUM(I622:L622)*$CY$113, SUM(I729:L729)*$CY$114)/config!$AC$16</f>
        <v>0</v>
      </c>
    </row>
    <row r="84" spans="1:107" ht="15" x14ac:dyDescent="0.25">
      <c r="A84" s="440" t="s">
        <v>112</v>
      </c>
      <c r="B84" s="642">
        <v>12</v>
      </c>
      <c r="C84" s="184">
        <v>0</v>
      </c>
      <c r="D84" s="184">
        <v>10</v>
      </c>
      <c r="E84" s="184">
        <v>0</v>
      </c>
      <c r="F84" s="184">
        <v>2</v>
      </c>
      <c r="G84" s="184">
        <v>0</v>
      </c>
      <c r="H84" s="184">
        <v>0</v>
      </c>
      <c r="I84" s="184">
        <v>0</v>
      </c>
      <c r="J84" s="184">
        <v>0</v>
      </c>
      <c r="K84" s="184">
        <v>0</v>
      </c>
      <c r="L84" s="184">
        <v>0</v>
      </c>
      <c r="M84" s="654" t="s">
        <v>24</v>
      </c>
      <c r="N84" s="670" t="s">
        <v>112</v>
      </c>
      <c r="O84" s="642">
        <v>0</v>
      </c>
      <c r="P84" s="184">
        <v>0</v>
      </c>
      <c r="Q84" s="184">
        <v>0</v>
      </c>
      <c r="R84" s="184">
        <v>0</v>
      </c>
      <c r="S84" s="184">
        <v>0</v>
      </c>
      <c r="T84" s="184">
        <v>2</v>
      </c>
      <c r="U84" s="184">
        <v>1</v>
      </c>
      <c r="V84" s="184">
        <v>5</v>
      </c>
      <c r="W84" s="184">
        <v>3</v>
      </c>
      <c r="X84" s="184">
        <v>1</v>
      </c>
      <c r="Y84" s="184">
        <v>0</v>
      </c>
      <c r="Z84" s="184">
        <v>0</v>
      </c>
      <c r="AA84" s="184">
        <v>0</v>
      </c>
      <c r="AB84" s="184">
        <v>0</v>
      </c>
      <c r="AC84" s="185">
        <v>42.6</v>
      </c>
      <c r="AD84" s="185">
        <v>47.8</v>
      </c>
      <c r="AE84" s="184">
        <v>0</v>
      </c>
      <c r="AF84" s="185">
        <v>0</v>
      </c>
      <c r="AG84" s="184">
        <v>0</v>
      </c>
      <c r="AH84" s="185">
        <v>0</v>
      </c>
      <c r="AI84" s="184">
        <v>0</v>
      </c>
      <c r="AJ84" s="643">
        <v>0</v>
      </c>
      <c r="AP84" s="401">
        <f t="shared" si="116"/>
        <v>3</v>
      </c>
      <c r="AR84" s="56">
        <f t="shared" si="117"/>
        <v>0.76041666666666607</v>
      </c>
      <c r="AS84" s="67">
        <f>SUM(C88,C195,C302,C409,C516,C623,C730)/config!$AC$13</f>
        <v>0.42857142857142855</v>
      </c>
      <c r="AT84" s="68">
        <f>SUM(D88:E88,D195:E195,D302:E302,D409:E409,D516:E516,D623:E623,D730:E730)/config!$AC$13</f>
        <v>7</v>
      </c>
      <c r="AU84" s="68">
        <f>SUM(F88:G88,F195:G195,F302:G302,F409:G409,F516:G516,F623:G623,F730:G730)/config!$AC$13</f>
        <v>0.42857142857142855</v>
      </c>
      <c r="AV84" s="68">
        <f>SUM(H88,H195,H302,H409,H516,H623,H730)/config!$AC$13</f>
        <v>0</v>
      </c>
      <c r="AW84" s="69">
        <f>SUM(I88:L88,I195:L195,I302:L302,I409:L409,I516:L516,I623:L623,I730:L730)/config!$AC$13</f>
        <v>0</v>
      </c>
      <c r="AY84" s="56">
        <f t="shared" si="118"/>
        <v>0.76041666666666607</v>
      </c>
      <c r="AZ84" s="70">
        <f t="shared" si="85"/>
        <v>4</v>
      </c>
      <c r="BA84" s="71">
        <f t="shared" si="86"/>
        <v>8</v>
      </c>
      <c r="BB84" s="71">
        <f t="shared" si="87"/>
        <v>4</v>
      </c>
      <c r="BC84" s="71">
        <f t="shared" si="88"/>
        <v>14</v>
      </c>
      <c r="BD84" s="71">
        <f t="shared" si="89"/>
        <v>10</v>
      </c>
      <c r="BE84" s="71">
        <f t="shared" si="90"/>
        <v>8</v>
      </c>
      <c r="BF84" s="72">
        <f t="shared" si="91"/>
        <v>7</v>
      </c>
      <c r="BG84" s="45"/>
      <c r="BH84" s="56">
        <f t="shared" si="92"/>
        <v>0.76041666666666607</v>
      </c>
      <c r="BI84" s="67">
        <f t="shared" si="93"/>
        <v>39.6</v>
      </c>
      <c r="BJ84" s="68">
        <f t="shared" si="94"/>
        <v>36.1</v>
      </c>
      <c r="BK84" s="68">
        <f t="shared" si="95"/>
        <v>45.1</v>
      </c>
      <c r="BL84" s="68">
        <f t="shared" si="96"/>
        <v>41.2</v>
      </c>
      <c r="BM84" s="68">
        <f t="shared" si="97"/>
        <v>38.299999999999997</v>
      </c>
      <c r="BN84" s="68">
        <f t="shared" si="98"/>
        <v>38.6</v>
      </c>
      <c r="BO84" s="69">
        <f t="shared" si="99"/>
        <v>37.9</v>
      </c>
      <c r="BP84" s="63"/>
      <c r="BQ84" s="64">
        <f t="shared" si="100"/>
        <v>0.76041666666666607</v>
      </c>
      <c r="BR84" s="67" t="str">
        <f t="shared" si="101"/>
        <v/>
      </c>
      <c r="BS84" s="68" t="str">
        <f t="shared" si="102"/>
        <v/>
      </c>
      <c r="BT84" s="68" t="str">
        <f t="shared" si="103"/>
        <v/>
      </c>
      <c r="BU84" s="68">
        <f t="shared" si="104"/>
        <v>50.3</v>
      </c>
      <c r="BV84" s="68" t="str">
        <f t="shared" si="105"/>
        <v/>
      </c>
      <c r="BW84" s="68" t="str">
        <f t="shared" si="106"/>
        <v/>
      </c>
      <c r="BX84" s="69" t="str">
        <f t="shared" si="107"/>
        <v/>
      </c>
      <c r="BY84" s="65"/>
      <c r="BZ84" s="66">
        <f t="shared" si="119"/>
        <v>39.542857142857144</v>
      </c>
      <c r="CA84" s="414">
        <f t="shared" si="108"/>
        <v>50.3</v>
      </c>
      <c r="CB84" s="416">
        <f t="shared" si="122"/>
        <v>60</v>
      </c>
      <c r="CC84" s="65"/>
      <c r="CD84" s="67">
        <f t="shared" si="109"/>
        <v>0</v>
      </c>
      <c r="CE84" s="68">
        <f t="shared" si="110"/>
        <v>0</v>
      </c>
      <c r="CF84" s="68">
        <f t="shared" si="111"/>
        <v>0</v>
      </c>
      <c r="CG84" s="68">
        <f t="shared" si="112"/>
        <v>1</v>
      </c>
      <c r="CH84" s="68">
        <f t="shared" si="113"/>
        <v>0</v>
      </c>
      <c r="CI84" s="68">
        <f t="shared" si="114"/>
        <v>0</v>
      </c>
      <c r="CJ84" s="69">
        <f t="shared" si="115"/>
        <v>0</v>
      </c>
      <c r="CM84" s="67">
        <f t="shared" si="120"/>
        <v>158.4</v>
      </c>
      <c r="CN84" s="68">
        <f t="shared" si="49"/>
        <v>288.8</v>
      </c>
      <c r="CO84" s="68">
        <f t="shared" si="50"/>
        <v>180.4</v>
      </c>
      <c r="CP84" s="68">
        <f t="shared" si="51"/>
        <v>576.80000000000007</v>
      </c>
      <c r="CQ84" s="68">
        <f t="shared" si="52"/>
        <v>383</v>
      </c>
      <c r="CR84" s="68">
        <f t="shared" si="53"/>
        <v>308.8</v>
      </c>
      <c r="CS84" s="69">
        <f t="shared" si="54"/>
        <v>265.3</v>
      </c>
      <c r="CU84" s="511">
        <f>SUM(SUMIF($AZ$8:$BF$8, {"NON";"NEUT"}, AZ84:BF84))/config!$AC$16</f>
        <v>7.4</v>
      </c>
      <c r="CV84" s="512">
        <f t="shared" si="121"/>
        <v>0.76041666666666607</v>
      </c>
      <c r="CY84" s="67">
        <f>SUM(C88*$CY$108, C195*$CY$109, C302*$CY$110, C409*$CY$111, C516*$CY$112, C623*$CY$113, C730*$CY$114)/config!$AC$16</f>
        <v>0.4</v>
      </c>
      <c r="CZ84" s="68">
        <f>SUM(SUM(D88:E88)*$CY$108, SUM(D195:E195)*$CY$109, SUM(D302:E302)*$CY$110, SUM(D409:E409)*$CY$111, SUM(D516:E516)*$CY$112, SUM(D623:E623)*$CY$113, SUM(D730:E730)*$CY$114)/config!$AC$16</f>
        <v>6.4</v>
      </c>
      <c r="DA84" s="68">
        <f>SUM(SUM(F88:G88)*$CY$108, SUM(F195:G195)*$CY$109, SUM(F302:G302)*$CY$110, SUM(F409:G409)*$CY$111, SUM(F516:G516)*$CY$112, SUM(F623:G623)*$CY$113, SUM(F730:G730)*$CY$114)/config!$AC$16</f>
        <v>0.6</v>
      </c>
      <c r="DB84" s="68">
        <f>SUM(H88*$CY$108, H195*$CY$109, H302*$CY$110, H409*$CY$111, H516*$CY$112, H623*$CY$113, H730*$CY$114)/config!$AC$16</f>
        <v>0</v>
      </c>
      <c r="DC84" s="69">
        <f>SUM(SUM(I88:L88)*$CY$108, SUM(I195:L195)*$CY$109, SUM(I302:L302)*$CY$110, SUM(I409:L409)*$CY$111, SUM(I516:L516)*$CY$112, SUM(I623:L623)*$CY$113, SUM(I730:L730)*$CY$114)/config!$AC$16</f>
        <v>0</v>
      </c>
    </row>
    <row r="85" spans="1:107" ht="15" x14ac:dyDescent="0.25">
      <c r="A85" s="440" t="s">
        <v>113</v>
      </c>
      <c r="B85" s="642">
        <v>11</v>
      </c>
      <c r="C85" s="184">
        <v>1</v>
      </c>
      <c r="D85" s="184">
        <v>10</v>
      </c>
      <c r="E85" s="184">
        <v>0</v>
      </c>
      <c r="F85" s="184">
        <v>0</v>
      </c>
      <c r="G85" s="184">
        <v>0</v>
      </c>
      <c r="H85" s="184">
        <v>0</v>
      </c>
      <c r="I85" s="184">
        <v>0</v>
      </c>
      <c r="J85" s="184">
        <v>0</v>
      </c>
      <c r="K85" s="184">
        <v>0</v>
      </c>
      <c r="L85" s="184">
        <v>0</v>
      </c>
      <c r="M85" s="654" t="s">
        <v>24</v>
      </c>
      <c r="N85" s="670" t="s">
        <v>113</v>
      </c>
      <c r="O85" s="642">
        <v>0</v>
      </c>
      <c r="P85" s="184">
        <v>1</v>
      </c>
      <c r="Q85" s="184">
        <v>0</v>
      </c>
      <c r="R85" s="184">
        <v>0</v>
      </c>
      <c r="S85" s="184">
        <v>0</v>
      </c>
      <c r="T85" s="184">
        <v>0</v>
      </c>
      <c r="U85" s="184">
        <v>1</v>
      </c>
      <c r="V85" s="184">
        <v>7</v>
      </c>
      <c r="W85" s="184">
        <v>2</v>
      </c>
      <c r="X85" s="184">
        <v>0</v>
      </c>
      <c r="Y85" s="184">
        <v>0</v>
      </c>
      <c r="Z85" s="184">
        <v>0</v>
      </c>
      <c r="AA85" s="184">
        <v>0</v>
      </c>
      <c r="AB85" s="184">
        <v>0</v>
      </c>
      <c r="AC85" s="185">
        <v>40.9</v>
      </c>
      <c r="AD85" s="185">
        <v>48.7</v>
      </c>
      <c r="AE85" s="184">
        <v>0</v>
      </c>
      <c r="AF85" s="185">
        <v>0</v>
      </c>
      <c r="AG85" s="184">
        <v>0</v>
      </c>
      <c r="AH85" s="185">
        <v>0</v>
      </c>
      <c r="AI85" s="184">
        <v>0</v>
      </c>
      <c r="AJ85" s="643">
        <v>0</v>
      </c>
      <c r="AP85" s="401">
        <f t="shared" si="116"/>
        <v>8</v>
      </c>
      <c r="AR85" s="56">
        <f t="shared" si="117"/>
        <v>0.7708333333333327</v>
      </c>
      <c r="AS85" s="67">
        <f>SUM(C89,C196,C303,C410,C517,C624,C731)/config!$AC$13</f>
        <v>0.42857142857142855</v>
      </c>
      <c r="AT85" s="68">
        <f>SUM(D89:E89,D196:E196,D303:E303,D410:E410,D517:E517,D624:E624,D731:E731)/config!$AC$13</f>
        <v>7.8571428571428568</v>
      </c>
      <c r="AU85" s="68">
        <f>SUM(F89:G89,F196:G196,F303:G303,F410:G410,F517:G517,F624:G624,F731:G731)/config!$AC$13</f>
        <v>1.1428571428571428</v>
      </c>
      <c r="AV85" s="68">
        <f>SUM(H89,H196,H303,H410,H517,H624,H731)/config!$AC$13</f>
        <v>0</v>
      </c>
      <c r="AW85" s="69">
        <f>SUM(I89:L89,I196:L196,I303:L303,I410:L410,I517:L517,I624:L624,I731:L731)/config!$AC$13</f>
        <v>0</v>
      </c>
      <c r="AY85" s="56">
        <f t="shared" si="118"/>
        <v>0.7708333333333327</v>
      </c>
      <c r="AZ85" s="70">
        <f t="shared" si="85"/>
        <v>6</v>
      </c>
      <c r="BA85" s="71">
        <f t="shared" si="86"/>
        <v>9</v>
      </c>
      <c r="BB85" s="71">
        <f t="shared" si="87"/>
        <v>7</v>
      </c>
      <c r="BC85" s="71">
        <f t="shared" si="88"/>
        <v>11</v>
      </c>
      <c r="BD85" s="71">
        <f t="shared" si="89"/>
        <v>10</v>
      </c>
      <c r="BE85" s="71">
        <f t="shared" si="90"/>
        <v>13</v>
      </c>
      <c r="BF85" s="72">
        <f t="shared" si="91"/>
        <v>10</v>
      </c>
      <c r="BG85" s="45"/>
      <c r="BH85" s="56">
        <f t="shared" si="92"/>
        <v>0.7708333333333327</v>
      </c>
      <c r="BI85" s="67">
        <f t="shared" si="93"/>
        <v>43.1</v>
      </c>
      <c r="BJ85" s="68">
        <f t="shared" si="94"/>
        <v>45.1</v>
      </c>
      <c r="BK85" s="68">
        <f t="shared" si="95"/>
        <v>44.6</v>
      </c>
      <c r="BL85" s="68">
        <f t="shared" si="96"/>
        <v>40.9</v>
      </c>
      <c r="BM85" s="68">
        <f t="shared" si="97"/>
        <v>37.200000000000003</v>
      </c>
      <c r="BN85" s="68">
        <f t="shared" si="98"/>
        <v>39.700000000000003</v>
      </c>
      <c r="BO85" s="69">
        <f t="shared" si="99"/>
        <v>38.200000000000003</v>
      </c>
      <c r="BP85" s="63"/>
      <c r="BQ85" s="64">
        <f t="shared" si="100"/>
        <v>0.7708333333333327</v>
      </c>
      <c r="BR85" s="67" t="str">
        <f t="shared" si="101"/>
        <v/>
      </c>
      <c r="BS85" s="68" t="str">
        <f t="shared" si="102"/>
        <v/>
      </c>
      <c r="BT85" s="68" t="str">
        <f t="shared" si="103"/>
        <v/>
      </c>
      <c r="BU85" s="68">
        <f t="shared" si="104"/>
        <v>49.6</v>
      </c>
      <c r="BV85" s="68" t="str">
        <f t="shared" si="105"/>
        <v/>
      </c>
      <c r="BW85" s="68">
        <f t="shared" si="106"/>
        <v>46.1</v>
      </c>
      <c r="BX85" s="69" t="str">
        <f t="shared" si="107"/>
        <v/>
      </c>
      <c r="BY85" s="65"/>
      <c r="BZ85" s="66">
        <f t="shared" si="119"/>
        <v>41.25714285714286</v>
      </c>
      <c r="CA85" s="414">
        <f t="shared" si="108"/>
        <v>47.85</v>
      </c>
      <c r="CB85" s="416">
        <f t="shared" si="122"/>
        <v>60</v>
      </c>
      <c r="CC85" s="65"/>
      <c r="CD85" s="67">
        <f t="shared" si="109"/>
        <v>0</v>
      </c>
      <c r="CE85" s="68">
        <f t="shared" si="110"/>
        <v>0</v>
      </c>
      <c r="CF85" s="68">
        <f t="shared" si="111"/>
        <v>0</v>
      </c>
      <c r="CG85" s="68">
        <f t="shared" si="112"/>
        <v>0</v>
      </c>
      <c r="CH85" s="68">
        <f t="shared" si="113"/>
        <v>0</v>
      </c>
      <c r="CI85" s="68">
        <f t="shared" si="114"/>
        <v>0</v>
      </c>
      <c r="CJ85" s="69">
        <f t="shared" si="115"/>
        <v>0</v>
      </c>
      <c r="CM85" s="67">
        <f t="shared" si="120"/>
        <v>258.60000000000002</v>
      </c>
      <c r="CN85" s="68">
        <f t="shared" si="49"/>
        <v>405.90000000000003</v>
      </c>
      <c r="CO85" s="68">
        <f t="shared" si="50"/>
        <v>312.2</v>
      </c>
      <c r="CP85" s="68">
        <f t="shared" si="51"/>
        <v>449.9</v>
      </c>
      <c r="CQ85" s="68">
        <f t="shared" si="52"/>
        <v>372</v>
      </c>
      <c r="CR85" s="68">
        <f t="shared" si="53"/>
        <v>516.1</v>
      </c>
      <c r="CS85" s="69">
        <f t="shared" si="54"/>
        <v>382</v>
      </c>
      <c r="CU85" s="511">
        <f>SUM(SUMIF($AZ$8:$BF$8, {"NON";"NEUT"}, AZ85:BF85))/config!$AC$16</f>
        <v>8.6</v>
      </c>
      <c r="CV85" s="512">
        <f t="shared" si="121"/>
        <v>0.7708333333333327</v>
      </c>
      <c r="CY85" s="67">
        <f>SUM(C89*$CY$108, C196*$CY$109, C303*$CY$110, C410*$CY$111, C517*$CY$112, C624*$CY$113, C731*$CY$114)/config!$AC$16</f>
        <v>0.4</v>
      </c>
      <c r="CZ85" s="68">
        <f>SUM(SUM(D89:E89)*$CY$108, SUM(D196:E196)*$CY$109, SUM(D303:E303)*$CY$110, SUM(D410:E410)*$CY$111, SUM(D517:E517)*$CY$112, SUM(D624:E624)*$CY$113, SUM(D731:E731)*$CY$114)/config!$AC$16</f>
        <v>6.6</v>
      </c>
      <c r="DA85" s="68">
        <f>SUM(SUM(F89:G89)*$CY$108, SUM(F196:G196)*$CY$109, SUM(F303:G303)*$CY$110, SUM(F410:G410)*$CY$111, SUM(F517:G517)*$CY$112, SUM(F624:G624)*$CY$113, SUM(F731:G731)*$CY$114)/config!$AC$16</f>
        <v>1.6</v>
      </c>
      <c r="DB85" s="68">
        <f>SUM(H89*$CY$108, H196*$CY$109, H303*$CY$110, H410*$CY$111, H517*$CY$112, H624*$CY$113, H731*$CY$114)/config!$AC$16</f>
        <v>0</v>
      </c>
      <c r="DC85" s="69">
        <f>SUM(SUM(I89:L89)*$CY$108, SUM(I196:L196)*$CY$109, SUM(I303:L303)*$CY$110, SUM(I410:L410)*$CY$111, SUM(I517:L517)*$CY$112, SUM(I624:L624)*$CY$113, SUM(I731:L731)*$CY$114)/config!$AC$16</f>
        <v>0</v>
      </c>
    </row>
    <row r="86" spans="1:107" ht="15" x14ac:dyDescent="0.25">
      <c r="A86" s="440" t="s">
        <v>114</v>
      </c>
      <c r="B86" s="642">
        <v>11</v>
      </c>
      <c r="C86" s="184">
        <v>0</v>
      </c>
      <c r="D86" s="184">
        <v>10</v>
      </c>
      <c r="E86" s="184">
        <v>0</v>
      </c>
      <c r="F86" s="184">
        <v>1</v>
      </c>
      <c r="G86" s="184">
        <v>0</v>
      </c>
      <c r="H86" s="184">
        <v>0</v>
      </c>
      <c r="I86" s="184">
        <v>0</v>
      </c>
      <c r="J86" s="184">
        <v>0</v>
      </c>
      <c r="K86" s="184">
        <v>0</v>
      </c>
      <c r="L86" s="184">
        <v>0</v>
      </c>
      <c r="M86" s="654" t="s">
        <v>24</v>
      </c>
      <c r="N86" s="670" t="s">
        <v>114</v>
      </c>
      <c r="O86" s="642">
        <v>0</v>
      </c>
      <c r="P86" s="184">
        <v>0</v>
      </c>
      <c r="Q86" s="184">
        <v>0</v>
      </c>
      <c r="R86" s="184">
        <v>0</v>
      </c>
      <c r="S86" s="184">
        <v>0</v>
      </c>
      <c r="T86" s="184">
        <v>1</v>
      </c>
      <c r="U86" s="184">
        <v>4</v>
      </c>
      <c r="V86" s="184">
        <v>5</v>
      </c>
      <c r="W86" s="184">
        <v>1</v>
      </c>
      <c r="X86" s="184">
        <v>0</v>
      </c>
      <c r="Y86" s="184">
        <v>0</v>
      </c>
      <c r="Z86" s="184">
        <v>0</v>
      </c>
      <c r="AA86" s="184">
        <v>0</v>
      </c>
      <c r="AB86" s="184">
        <v>0</v>
      </c>
      <c r="AC86" s="185">
        <v>40.799999999999997</v>
      </c>
      <c r="AD86" s="185">
        <v>44.8</v>
      </c>
      <c r="AE86" s="184">
        <v>0</v>
      </c>
      <c r="AF86" s="185">
        <v>0</v>
      </c>
      <c r="AG86" s="184">
        <v>0</v>
      </c>
      <c r="AH86" s="185">
        <v>0</v>
      </c>
      <c r="AI86" s="184">
        <v>0</v>
      </c>
      <c r="AJ86" s="643">
        <v>0</v>
      </c>
      <c r="AP86" s="401">
        <f t="shared" si="116"/>
        <v>2</v>
      </c>
      <c r="AR86" s="56">
        <f t="shared" si="117"/>
        <v>0.78124999999999933</v>
      </c>
      <c r="AS86" s="67">
        <f>SUM(C90,C197,C304,C411,C518,C625,C732)/config!$AC$13</f>
        <v>0.2857142857142857</v>
      </c>
      <c r="AT86" s="68">
        <f>SUM(D90:E90,D197:E197,D304:E304,D411:E411,D518:E518,D625:E625,D732:E732)/config!$AC$13</f>
        <v>5.4285714285714288</v>
      </c>
      <c r="AU86" s="68">
        <f>SUM(F90:G90,F197:G197,F304:G304,F411:G411,F518:G518,F625:G625,F732:G732)/config!$AC$13</f>
        <v>0.2857142857142857</v>
      </c>
      <c r="AV86" s="68">
        <f>SUM(H90,H197,H304,H411,H518,H625,H732)/config!$AC$13</f>
        <v>0</v>
      </c>
      <c r="AW86" s="69">
        <f>SUM(I90:L90,I197:L197,I304:L304,I411:L411,I518:L518,I625:L625,I732:L732)/config!$AC$13</f>
        <v>0</v>
      </c>
      <c r="AY86" s="56">
        <f t="shared" si="118"/>
        <v>0.78124999999999933</v>
      </c>
      <c r="AZ86" s="70">
        <f t="shared" si="85"/>
        <v>8</v>
      </c>
      <c r="BA86" s="71">
        <f t="shared" si="86"/>
        <v>9</v>
      </c>
      <c r="BB86" s="71">
        <f t="shared" si="87"/>
        <v>5</v>
      </c>
      <c r="BC86" s="71">
        <f t="shared" si="88"/>
        <v>7</v>
      </c>
      <c r="BD86" s="71">
        <f t="shared" si="89"/>
        <v>4</v>
      </c>
      <c r="BE86" s="71">
        <f t="shared" si="90"/>
        <v>4</v>
      </c>
      <c r="BF86" s="72">
        <f t="shared" si="91"/>
        <v>5</v>
      </c>
      <c r="BG86" s="45"/>
      <c r="BH86" s="56">
        <f t="shared" si="92"/>
        <v>0.78124999999999933</v>
      </c>
      <c r="BI86" s="67">
        <f t="shared" si="93"/>
        <v>41.1</v>
      </c>
      <c r="BJ86" s="68">
        <f t="shared" si="94"/>
        <v>41.8</v>
      </c>
      <c r="BK86" s="68">
        <f t="shared" si="95"/>
        <v>44.6</v>
      </c>
      <c r="BL86" s="68">
        <f t="shared" si="96"/>
        <v>33.6</v>
      </c>
      <c r="BM86" s="68">
        <f t="shared" si="97"/>
        <v>39.1</v>
      </c>
      <c r="BN86" s="68">
        <f t="shared" si="98"/>
        <v>29.3</v>
      </c>
      <c r="BO86" s="69">
        <f t="shared" si="99"/>
        <v>39.5</v>
      </c>
      <c r="BP86" s="63"/>
      <c r="BQ86" s="64">
        <f t="shared" si="100"/>
        <v>0.78124999999999933</v>
      </c>
      <c r="BR86" s="67" t="str">
        <f t="shared" si="101"/>
        <v/>
      </c>
      <c r="BS86" s="68" t="str">
        <f t="shared" si="102"/>
        <v/>
      </c>
      <c r="BT86" s="68" t="str">
        <f t="shared" si="103"/>
        <v/>
      </c>
      <c r="BU86" s="68" t="str">
        <f t="shared" si="104"/>
        <v/>
      </c>
      <c r="BV86" s="68" t="str">
        <f t="shared" si="105"/>
        <v/>
      </c>
      <c r="BW86" s="68" t="str">
        <f t="shared" si="106"/>
        <v/>
      </c>
      <c r="BX86" s="69" t="str">
        <f t="shared" si="107"/>
        <v/>
      </c>
      <c r="BY86" s="65"/>
      <c r="BZ86" s="66">
        <f t="shared" si="119"/>
        <v>38.428571428571431</v>
      </c>
      <c r="CA86" s="414" t="e">
        <f t="shared" si="108"/>
        <v>#N/A</v>
      </c>
      <c r="CB86" s="416">
        <f t="shared" si="122"/>
        <v>60</v>
      </c>
      <c r="CC86" s="65"/>
      <c r="CD86" s="67">
        <f t="shared" si="109"/>
        <v>0</v>
      </c>
      <c r="CE86" s="68">
        <f t="shared" si="110"/>
        <v>0</v>
      </c>
      <c r="CF86" s="68">
        <f t="shared" si="111"/>
        <v>0</v>
      </c>
      <c r="CG86" s="68">
        <f t="shared" si="112"/>
        <v>0</v>
      </c>
      <c r="CH86" s="68">
        <f t="shared" si="113"/>
        <v>0</v>
      </c>
      <c r="CI86" s="68">
        <f t="shared" si="114"/>
        <v>0</v>
      </c>
      <c r="CJ86" s="69">
        <f t="shared" si="115"/>
        <v>0</v>
      </c>
      <c r="CM86" s="67">
        <f t="shared" si="120"/>
        <v>328.8</v>
      </c>
      <c r="CN86" s="68">
        <f t="shared" si="49"/>
        <v>376.2</v>
      </c>
      <c r="CO86" s="68">
        <f t="shared" si="50"/>
        <v>223</v>
      </c>
      <c r="CP86" s="68">
        <f t="shared" si="51"/>
        <v>235.20000000000002</v>
      </c>
      <c r="CQ86" s="68">
        <f t="shared" si="52"/>
        <v>156.4</v>
      </c>
      <c r="CR86" s="68">
        <f t="shared" si="53"/>
        <v>117.2</v>
      </c>
      <c r="CS86" s="69">
        <f t="shared" si="54"/>
        <v>197.5</v>
      </c>
      <c r="CU86" s="511">
        <f>SUM(SUMIF($AZ$8:$BF$8, {"NON";"NEUT"}, AZ86:BF86))/config!$AC$16</f>
        <v>6.8</v>
      </c>
      <c r="CV86" s="512">
        <f t="shared" si="121"/>
        <v>0.78124999999999933</v>
      </c>
      <c r="CY86" s="67">
        <f>SUM(C90*$CY$108, C197*$CY$109, C304*$CY$110, C411*$CY$111, C518*$CY$112, C625*$CY$113, C732*$CY$114)/config!$AC$16</f>
        <v>0.2</v>
      </c>
      <c r="CZ86" s="68">
        <f>SUM(SUM(D90:E90)*$CY$108, SUM(D197:E197)*$CY$109, SUM(D304:E304)*$CY$110, SUM(D411:E411)*$CY$111, SUM(D518:E518)*$CY$112, SUM(D625:E625)*$CY$113, SUM(D732:E732)*$CY$114)/config!$AC$16</f>
        <v>6.2</v>
      </c>
      <c r="DA86" s="68">
        <f>SUM(SUM(F90:G90)*$CY$108, SUM(F197:G197)*$CY$109, SUM(F304:G304)*$CY$110, SUM(F411:G411)*$CY$111, SUM(F518:G518)*$CY$112, SUM(F625:G625)*$CY$113, SUM(F732:G732)*$CY$114)/config!$AC$16</f>
        <v>0.4</v>
      </c>
      <c r="DB86" s="68">
        <f>SUM(H90*$CY$108, H197*$CY$109, H304*$CY$110, H411*$CY$111, H518*$CY$112, H625*$CY$113, H732*$CY$114)/config!$AC$16</f>
        <v>0</v>
      </c>
      <c r="DC86" s="69">
        <f>SUM(SUM(I90:L90)*$CY$108, SUM(I197:L197)*$CY$109, SUM(I304:L304)*$CY$110, SUM(I411:L411)*$CY$111, SUM(I518:L518)*$CY$112, SUM(I625:L625)*$CY$113, SUM(I732:L732)*$CY$114)/config!$AC$16</f>
        <v>0</v>
      </c>
    </row>
    <row r="87" spans="1:107" ht="15" x14ac:dyDescent="0.25">
      <c r="A87" s="440" t="s">
        <v>69</v>
      </c>
      <c r="B87" s="646">
        <v>12</v>
      </c>
      <c r="C87" s="186">
        <v>0</v>
      </c>
      <c r="D87" s="186">
        <v>11</v>
      </c>
      <c r="E87" s="186">
        <v>0</v>
      </c>
      <c r="F87" s="186">
        <v>1</v>
      </c>
      <c r="G87" s="186">
        <v>0</v>
      </c>
      <c r="H87" s="186">
        <v>0</v>
      </c>
      <c r="I87" s="186">
        <v>0</v>
      </c>
      <c r="J87" s="186">
        <v>0</v>
      </c>
      <c r="K87" s="186">
        <v>0</v>
      </c>
      <c r="L87" s="186">
        <v>0</v>
      </c>
      <c r="M87" s="656" t="s">
        <v>24</v>
      </c>
      <c r="N87" s="670" t="s">
        <v>69</v>
      </c>
      <c r="O87" s="646">
        <v>0</v>
      </c>
      <c r="P87" s="186">
        <v>0</v>
      </c>
      <c r="Q87" s="186">
        <v>0</v>
      </c>
      <c r="R87" s="186">
        <v>0</v>
      </c>
      <c r="S87" s="186">
        <v>0</v>
      </c>
      <c r="T87" s="186">
        <v>2</v>
      </c>
      <c r="U87" s="186">
        <v>6</v>
      </c>
      <c r="V87" s="186">
        <v>1</v>
      </c>
      <c r="W87" s="186">
        <v>1</v>
      </c>
      <c r="X87" s="186">
        <v>2</v>
      </c>
      <c r="Y87" s="186">
        <v>0</v>
      </c>
      <c r="Z87" s="186">
        <v>0</v>
      </c>
      <c r="AA87" s="186">
        <v>0</v>
      </c>
      <c r="AB87" s="186">
        <v>0</v>
      </c>
      <c r="AC87" s="187">
        <v>40.299999999999997</v>
      </c>
      <c r="AD87" s="187">
        <v>50.9</v>
      </c>
      <c r="AE87" s="186">
        <v>0</v>
      </c>
      <c r="AF87" s="187">
        <v>0</v>
      </c>
      <c r="AG87" s="186">
        <v>0</v>
      </c>
      <c r="AH87" s="187">
        <v>0</v>
      </c>
      <c r="AI87" s="186">
        <v>0</v>
      </c>
      <c r="AJ87" s="647">
        <v>0</v>
      </c>
      <c r="AP87" s="401">
        <f t="shared" si="116"/>
        <v>0</v>
      </c>
      <c r="AR87" s="56">
        <f t="shared" si="117"/>
        <v>0.79166666666666596</v>
      </c>
      <c r="AS87" s="73">
        <f>SUM(C91,C198,C305,C412,C519,C626,C733)/config!$AC$13</f>
        <v>0.14285714285714285</v>
      </c>
      <c r="AT87" s="74">
        <f>SUM(D91:E91,D198:E198,D305:E305,D412:E412,D519:E519,D626:E626,D733:E733)/config!$AC$13</f>
        <v>7</v>
      </c>
      <c r="AU87" s="74">
        <f>SUM(F91:G91,F198:G198,F305:G305,F412:G412,F519:G519,F626:G626,F733:G733)/config!$AC$13</f>
        <v>0</v>
      </c>
      <c r="AV87" s="74">
        <f>SUM(H91,H198,H305,H412,H519,H626,H733)/config!$AC$13</f>
        <v>0</v>
      </c>
      <c r="AW87" s="75">
        <f>SUM(I91:L91,I198:L198,I305:L305,I412:L412,I519:L519,I626:L626,I733:L733)/config!$AC$13</f>
        <v>0</v>
      </c>
      <c r="AY87" s="56">
        <f t="shared" si="118"/>
        <v>0.79166666666666596</v>
      </c>
      <c r="AZ87" s="76">
        <f t="shared" si="85"/>
        <v>2</v>
      </c>
      <c r="BA87" s="77">
        <f t="shared" si="86"/>
        <v>8</v>
      </c>
      <c r="BB87" s="77">
        <f t="shared" si="87"/>
        <v>9</v>
      </c>
      <c r="BC87" s="77">
        <f t="shared" si="88"/>
        <v>12</v>
      </c>
      <c r="BD87" s="77">
        <f t="shared" si="89"/>
        <v>6</v>
      </c>
      <c r="BE87" s="77">
        <f t="shared" si="90"/>
        <v>3</v>
      </c>
      <c r="BF87" s="78">
        <f t="shared" si="91"/>
        <v>10</v>
      </c>
      <c r="BG87" s="45"/>
      <c r="BH87" s="56">
        <f t="shared" si="92"/>
        <v>0.79166666666666596</v>
      </c>
      <c r="BI87" s="73">
        <f t="shared" si="93"/>
        <v>31.7</v>
      </c>
      <c r="BJ87" s="74">
        <f t="shared" si="94"/>
        <v>45.2</v>
      </c>
      <c r="BK87" s="74">
        <f t="shared" si="95"/>
        <v>42.1</v>
      </c>
      <c r="BL87" s="74">
        <f t="shared" si="96"/>
        <v>42.6</v>
      </c>
      <c r="BM87" s="74">
        <f t="shared" si="97"/>
        <v>41.4</v>
      </c>
      <c r="BN87" s="74">
        <f t="shared" si="98"/>
        <v>38.4</v>
      </c>
      <c r="BO87" s="75">
        <f t="shared" si="99"/>
        <v>42</v>
      </c>
      <c r="BP87" s="63"/>
      <c r="BQ87" s="64">
        <f t="shared" si="100"/>
        <v>0.79166666666666596</v>
      </c>
      <c r="BR87" s="73" t="str">
        <f t="shared" si="101"/>
        <v/>
      </c>
      <c r="BS87" s="74" t="str">
        <f t="shared" si="102"/>
        <v/>
      </c>
      <c r="BT87" s="74" t="str">
        <f t="shared" si="103"/>
        <v/>
      </c>
      <c r="BU87" s="74">
        <f t="shared" si="104"/>
        <v>49.9</v>
      </c>
      <c r="BV87" s="74" t="str">
        <f t="shared" si="105"/>
        <v/>
      </c>
      <c r="BW87" s="74" t="str">
        <f t="shared" si="106"/>
        <v/>
      </c>
      <c r="BX87" s="75" t="str">
        <f t="shared" si="107"/>
        <v/>
      </c>
      <c r="BY87" s="65"/>
      <c r="BZ87" s="66">
        <f t="shared" si="119"/>
        <v>40.48571428571428</v>
      </c>
      <c r="CA87" s="414">
        <f t="shared" si="108"/>
        <v>49.9</v>
      </c>
      <c r="CB87" s="416">
        <f t="shared" si="122"/>
        <v>60</v>
      </c>
      <c r="CC87" s="65"/>
      <c r="CD87" s="73">
        <f t="shared" si="109"/>
        <v>0</v>
      </c>
      <c r="CE87" s="74">
        <f t="shared" si="110"/>
        <v>1</v>
      </c>
      <c r="CF87" s="74">
        <f t="shared" si="111"/>
        <v>0</v>
      </c>
      <c r="CG87" s="74">
        <f t="shared" si="112"/>
        <v>0</v>
      </c>
      <c r="CH87" s="74">
        <f t="shared" si="113"/>
        <v>0</v>
      </c>
      <c r="CI87" s="74">
        <f t="shared" si="114"/>
        <v>0</v>
      </c>
      <c r="CJ87" s="75">
        <f t="shared" si="115"/>
        <v>0</v>
      </c>
      <c r="CM87" s="73">
        <f t="shared" si="120"/>
        <v>63.4</v>
      </c>
      <c r="CN87" s="74">
        <f t="shared" si="49"/>
        <v>361.6</v>
      </c>
      <c r="CO87" s="74">
        <f t="shared" si="50"/>
        <v>378.90000000000003</v>
      </c>
      <c r="CP87" s="74">
        <f t="shared" si="51"/>
        <v>511.20000000000005</v>
      </c>
      <c r="CQ87" s="74">
        <f t="shared" si="52"/>
        <v>248.39999999999998</v>
      </c>
      <c r="CR87" s="74">
        <f t="shared" si="53"/>
        <v>115.19999999999999</v>
      </c>
      <c r="CS87" s="75">
        <f t="shared" si="54"/>
        <v>420</v>
      </c>
      <c r="CU87" s="511">
        <f>SUM(SUMIF($AZ$8:$BF$8, {"NON";"NEUT"}, AZ87:BF87))/config!$AC$16</f>
        <v>8.1999999999999993</v>
      </c>
      <c r="CV87" s="512">
        <f t="shared" si="121"/>
        <v>0.79166666666666596</v>
      </c>
      <c r="CY87" s="73">
        <f>SUM(C91*$CY$108, C198*$CY$109, C305*$CY$110, C412*$CY$111, C519*$CY$112, C626*$CY$113, C733*$CY$114)/config!$AC$16</f>
        <v>0.2</v>
      </c>
      <c r="CZ87" s="74">
        <f>SUM(SUM(D91:E91)*$CY$108, SUM(D198:E198)*$CY$109, SUM(D305:E305)*$CY$110, SUM(D412:E412)*$CY$111, SUM(D519:E519)*$CY$112, SUM(D626:E626)*$CY$113, SUM(D733:E733)*$CY$114)/config!$AC$16</f>
        <v>8</v>
      </c>
      <c r="DA87" s="74">
        <f>SUM(SUM(F91:G91)*$CY$108, SUM(F198:G198)*$CY$109, SUM(F305:G305)*$CY$110, SUM(F412:G412)*$CY$111, SUM(F519:G519)*$CY$112, SUM(F626:G626)*$CY$113, SUM(F733:G733)*$CY$114)/config!$AC$16</f>
        <v>0</v>
      </c>
      <c r="DB87" s="74">
        <f>SUM(H91*$CY$108, H198*$CY$109, H305*$CY$110, H412*$CY$111, H519*$CY$112, H626*$CY$113, H733*$CY$114)/config!$AC$16</f>
        <v>0</v>
      </c>
      <c r="DC87" s="75">
        <f>SUM(SUM(I91:L91)*$CY$108, SUM(I198:L198)*$CY$109, SUM(I305:L305)*$CY$110, SUM(I412:L412)*$CY$111, SUM(I519:L519)*$CY$112, SUM(I626:L626)*$CY$113, SUM(I733:L733)*$CY$114)/config!$AC$16</f>
        <v>0</v>
      </c>
    </row>
    <row r="88" spans="1:107" ht="15" x14ac:dyDescent="0.25">
      <c r="A88" s="440" t="s">
        <v>115</v>
      </c>
      <c r="B88" s="642">
        <v>4</v>
      </c>
      <c r="C88" s="184">
        <v>0</v>
      </c>
      <c r="D88" s="184">
        <v>3</v>
      </c>
      <c r="E88" s="184">
        <v>0</v>
      </c>
      <c r="F88" s="184">
        <v>1</v>
      </c>
      <c r="G88" s="184">
        <v>0</v>
      </c>
      <c r="H88" s="184">
        <v>0</v>
      </c>
      <c r="I88" s="184">
        <v>0</v>
      </c>
      <c r="J88" s="184">
        <v>0</v>
      </c>
      <c r="K88" s="184">
        <v>0</v>
      </c>
      <c r="L88" s="184">
        <v>0</v>
      </c>
      <c r="M88" s="654" t="s">
        <v>24</v>
      </c>
      <c r="N88" s="670" t="s">
        <v>115</v>
      </c>
      <c r="O88" s="642">
        <v>0</v>
      </c>
      <c r="P88" s="184">
        <v>0</v>
      </c>
      <c r="Q88" s="184">
        <v>0</v>
      </c>
      <c r="R88" s="184">
        <v>0</v>
      </c>
      <c r="S88" s="184">
        <v>0</v>
      </c>
      <c r="T88" s="184">
        <v>1</v>
      </c>
      <c r="U88" s="184">
        <v>1</v>
      </c>
      <c r="V88" s="184">
        <v>2</v>
      </c>
      <c r="W88" s="184">
        <v>0</v>
      </c>
      <c r="X88" s="184">
        <v>0</v>
      </c>
      <c r="Y88" s="184">
        <v>0</v>
      </c>
      <c r="Z88" s="184">
        <v>0</v>
      </c>
      <c r="AA88" s="184">
        <v>0</v>
      </c>
      <c r="AB88" s="184">
        <v>0</v>
      </c>
      <c r="AC88" s="185">
        <v>39.6</v>
      </c>
      <c r="AD88" s="185" t="s">
        <v>24</v>
      </c>
      <c r="AE88" s="184">
        <v>0</v>
      </c>
      <c r="AF88" s="185">
        <v>0</v>
      </c>
      <c r="AG88" s="184">
        <v>0</v>
      </c>
      <c r="AH88" s="185">
        <v>0</v>
      </c>
      <c r="AI88" s="184">
        <v>0</v>
      </c>
      <c r="AJ88" s="643">
        <v>0</v>
      </c>
      <c r="AP88" s="401">
        <f t="shared" si="116"/>
        <v>5</v>
      </c>
      <c r="AR88" s="56">
        <f t="shared" si="117"/>
        <v>0.80208333333333259</v>
      </c>
      <c r="AS88" s="67">
        <f>SUM(C92,C199,C306,C413,C520,C627,C734)/config!$AC$13</f>
        <v>0</v>
      </c>
      <c r="AT88" s="68">
        <f>SUM(D92:E92,D199:E199,D306:E306,D413:E413,D520:E520,D627:E627,D734:E734)/config!$AC$13</f>
        <v>6.4285714285714288</v>
      </c>
      <c r="AU88" s="68">
        <f>SUM(F92:G92,F199:G199,F306:G306,F413:G413,F520:G520,F627:G627,F734:G734)/config!$AC$13</f>
        <v>0.7142857142857143</v>
      </c>
      <c r="AV88" s="68">
        <f>SUM(H92,H199,H306,H413,H520,H627,H734)/config!$AC$13</f>
        <v>0</v>
      </c>
      <c r="AW88" s="69">
        <f>SUM(I92:L92,I199:L199,I306:L306,I413:L413,I520:L520,I627:L627,I734:L734)/config!$AC$13</f>
        <v>0</v>
      </c>
      <c r="AY88" s="56">
        <f t="shared" si="118"/>
        <v>0.80208333333333259</v>
      </c>
      <c r="AZ88" s="70">
        <f t="shared" si="85"/>
        <v>10</v>
      </c>
      <c r="BA88" s="71">
        <f t="shared" si="86"/>
        <v>12</v>
      </c>
      <c r="BB88" s="71">
        <f t="shared" si="87"/>
        <v>5</v>
      </c>
      <c r="BC88" s="71">
        <f t="shared" si="88"/>
        <v>7</v>
      </c>
      <c r="BD88" s="71">
        <f t="shared" si="89"/>
        <v>6</v>
      </c>
      <c r="BE88" s="71">
        <f t="shared" si="90"/>
        <v>4</v>
      </c>
      <c r="BF88" s="72">
        <f t="shared" si="91"/>
        <v>6</v>
      </c>
      <c r="BG88" s="45"/>
      <c r="BH88" s="56">
        <f t="shared" si="92"/>
        <v>0.80208333333333259</v>
      </c>
      <c r="BI88" s="67">
        <f t="shared" si="93"/>
        <v>44.7</v>
      </c>
      <c r="BJ88" s="68">
        <f t="shared" si="94"/>
        <v>40.1</v>
      </c>
      <c r="BK88" s="68">
        <f t="shared" si="95"/>
        <v>44.4</v>
      </c>
      <c r="BL88" s="68">
        <f t="shared" si="96"/>
        <v>42.7</v>
      </c>
      <c r="BM88" s="68">
        <f t="shared" si="97"/>
        <v>38.4</v>
      </c>
      <c r="BN88" s="68">
        <f t="shared" si="98"/>
        <v>36.1</v>
      </c>
      <c r="BO88" s="69">
        <f t="shared" si="99"/>
        <v>38.6</v>
      </c>
      <c r="BP88" s="63"/>
      <c r="BQ88" s="64">
        <f t="shared" si="100"/>
        <v>0.80208333333333259</v>
      </c>
      <c r="BR88" s="67" t="str">
        <f t="shared" si="101"/>
        <v/>
      </c>
      <c r="BS88" s="68">
        <f t="shared" si="102"/>
        <v>47</v>
      </c>
      <c r="BT88" s="68" t="str">
        <f t="shared" si="103"/>
        <v/>
      </c>
      <c r="BU88" s="68" t="str">
        <f t="shared" si="104"/>
        <v/>
      </c>
      <c r="BV88" s="68" t="str">
        <f t="shared" si="105"/>
        <v/>
      </c>
      <c r="BW88" s="68" t="str">
        <f t="shared" si="106"/>
        <v/>
      </c>
      <c r="BX88" s="69" t="str">
        <f t="shared" si="107"/>
        <v/>
      </c>
      <c r="BY88" s="65"/>
      <c r="BZ88" s="66">
        <f t="shared" si="119"/>
        <v>40.714285714285722</v>
      </c>
      <c r="CA88" s="414">
        <f t="shared" si="108"/>
        <v>47</v>
      </c>
      <c r="CB88" s="416">
        <f t="shared" si="122"/>
        <v>60</v>
      </c>
      <c r="CC88" s="65"/>
      <c r="CD88" s="67">
        <f t="shared" si="109"/>
        <v>0</v>
      </c>
      <c r="CE88" s="68">
        <f t="shared" si="110"/>
        <v>0</v>
      </c>
      <c r="CF88" s="68">
        <f t="shared" si="111"/>
        <v>0</v>
      </c>
      <c r="CG88" s="68">
        <f t="shared" si="112"/>
        <v>0</v>
      </c>
      <c r="CH88" s="68">
        <f t="shared" si="113"/>
        <v>0</v>
      </c>
      <c r="CI88" s="68">
        <f t="shared" si="114"/>
        <v>0</v>
      </c>
      <c r="CJ88" s="69">
        <f t="shared" si="115"/>
        <v>0</v>
      </c>
      <c r="CM88" s="67">
        <f t="shared" si="120"/>
        <v>447</v>
      </c>
      <c r="CN88" s="68">
        <f t="shared" si="49"/>
        <v>481.20000000000005</v>
      </c>
      <c r="CO88" s="68">
        <f t="shared" si="50"/>
        <v>222</v>
      </c>
      <c r="CP88" s="68">
        <f t="shared" si="51"/>
        <v>298.90000000000003</v>
      </c>
      <c r="CQ88" s="68">
        <f t="shared" si="52"/>
        <v>230.39999999999998</v>
      </c>
      <c r="CR88" s="68">
        <f t="shared" si="53"/>
        <v>144.4</v>
      </c>
      <c r="CS88" s="69">
        <f t="shared" si="54"/>
        <v>231.60000000000002</v>
      </c>
      <c r="CU88" s="511">
        <f>SUM(SUMIF($AZ$8:$BF$8, {"NON";"NEUT"}, AZ88:BF88))/config!$AC$16</f>
        <v>8</v>
      </c>
      <c r="CV88" s="512">
        <f t="shared" si="121"/>
        <v>0.80208333333333259</v>
      </c>
      <c r="CY88" s="67">
        <f>SUM(C92*$CY$108, C199*$CY$109, C306*$CY$110, C413*$CY$111, C520*$CY$112, C627*$CY$113, C734*$CY$114)/config!$AC$16</f>
        <v>0</v>
      </c>
      <c r="CZ88" s="68">
        <f>SUM(SUM(D92:E92)*$CY$108, SUM(D199:E199)*$CY$109, SUM(D306:E306)*$CY$110, SUM(D413:E413)*$CY$111, SUM(D520:E520)*$CY$112, SUM(D627:E627)*$CY$113, SUM(D734:E734)*$CY$114)/config!$AC$16</f>
        <v>7.2</v>
      </c>
      <c r="DA88" s="68">
        <f>SUM(SUM(F92:G92)*$CY$108, SUM(F199:G199)*$CY$109, SUM(F306:G306)*$CY$110, SUM(F413:G413)*$CY$111, SUM(F520:G520)*$CY$112, SUM(F627:G627)*$CY$113, SUM(F734:G734)*$CY$114)/config!$AC$16</f>
        <v>0.8</v>
      </c>
      <c r="DB88" s="68">
        <f>SUM(H92*$CY$108, H199*$CY$109, H306*$CY$110, H413*$CY$111, H520*$CY$112, H627*$CY$113, H734*$CY$114)/config!$AC$16</f>
        <v>0</v>
      </c>
      <c r="DC88" s="69">
        <f>SUM(SUM(I92:L92)*$CY$108, SUM(I199:L199)*$CY$109, SUM(I306:L306)*$CY$110, SUM(I413:L413)*$CY$111, SUM(I520:L520)*$CY$112, SUM(I627:L627)*$CY$113, SUM(I734:L734)*$CY$114)/config!$AC$16</f>
        <v>0</v>
      </c>
    </row>
    <row r="89" spans="1:107" ht="15" x14ac:dyDescent="0.25">
      <c r="A89" s="440" t="s">
        <v>116</v>
      </c>
      <c r="B89" s="642">
        <v>6</v>
      </c>
      <c r="C89" s="184">
        <v>0</v>
      </c>
      <c r="D89" s="184">
        <v>6</v>
      </c>
      <c r="E89" s="184">
        <v>0</v>
      </c>
      <c r="F89" s="184">
        <v>0</v>
      </c>
      <c r="G89" s="184">
        <v>0</v>
      </c>
      <c r="H89" s="184">
        <v>0</v>
      </c>
      <c r="I89" s="184">
        <v>0</v>
      </c>
      <c r="J89" s="184">
        <v>0</v>
      </c>
      <c r="K89" s="184">
        <v>0</v>
      </c>
      <c r="L89" s="184">
        <v>0</v>
      </c>
      <c r="M89" s="654" t="s">
        <v>24</v>
      </c>
      <c r="N89" s="670" t="s">
        <v>116</v>
      </c>
      <c r="O89" s="642">
        <v>0</v>
      </c>
      <c r="P89" s="184">
        <v>0</v>
      </c>
      <c r="Q89" s="184">
        <v>0</v>
      </c>
      <c r="R89" s="184">
        <v>0</v>
      </c>
      <c r="S89" s="184">
        <v>0</v>
      </c>
      <c r="T89" s="184">
        <v>0</v>
      </c>
      <c r="U89" s="184">
        <v>2</v>
      </c>
      <c r="V89" s="184">
        <v>2</v>
      </c>
      <c r="W89" s="184">
        <v>1</v>
      </c>
      <c r="X89" s="184">
        <v>1</v>
      </c>
      <c r="Y89" s="184">
        <v>0</v>
      </c>
      <c r="Z89" s="184">
        <v>0</v>
      </c>
      <c r="AA89" s="184">
        <v>0</v>
      </c>
      <c r="AB89" s="184">
        <v>0</v>
      </c>
      <c r="AC89" s="185">
        <v>43.1</v>
      </c>
      <c r="AD89" s="185" t="s">
        <v>24</v>
      </c>
      <c r="AE89" s="184">
        <v>0</v>
      </c>
      <c r="AF89" s="185">
        <v>0</v>
      </c>
      <c r="AG89" s="184">
        <v>0</v>
      </c>
      <c r="AH89" s="185">
        <v>0</v>
      </c>
      <c r="AI89" s="184">
        <v>0</v>
      </c>
      <c r="AJ89" s="643">
        <v>0</v>
      </c>
      <c r="AP89" s="401">
        <f t="shared" si="116"/>
        <v>2</v>
      </c>
      <c r="AR89" s="56">
        <f t="shared" si="117"/>
        <v>0.81249999999999922</v>
      </c>
      <c r="AS89" s="67">
        <f>SUM(C93,C200,C307,C414,C521,C628,C735)/config!$AC$13</f>
        <v>0.14285714285714285</v>
      </c>
      <c r="AT89" s="68">
        <f>SUM(D93:E93,D200:E200,D307:E307,D414:E414,D521:E521,D628:E628,D735:E735)/config!$AC$13</f>
        <v>5.1428571428571432</v>
      </c>
      <c r="AU89" s="68">
        <f>SUM(F93:G93,F200:G200,F307:G307,F414:G414,F521:G521,F628:G628,F735:G735)/config!$AC$13</f>
        <v>0.2857142857142857</v>
      </c>
      <c r="AV89" s="68">
        <f>SUM(H93,H200,H307,H414,H521,H628,H735)/config!$AC$13</f>
        <v>0</v>
      </c>
      <c r="AW89" s="69">
        <f>SUM(I93:L93,I200:L200,I307:L307,I414:L414,I521:L521,I628:L628,I735:L735)/config!$AC$13</f>
        <v>0</v>
      </c>
      <c r="AY89" s="56">
        <f t="shared" si="118"/>
        <v>0.81249999999999922</v>
      </c>
      <c r="AZ89" s="70">
        <f t="shared" si="85"/>
        <v>4</v>
      </c>
      <c r="BA89" s="71">
        <f t="shared" si="86"/>
        <v>10</v>
      </c>
      <c r="BB89" s="71">
        <f t="shared" si="87"/>
        <v>5</v>
      </c>
      <c r="BC89" s="71">
        <f t="shared" si="88"/>
        <v>9</v>
      </c>
      <c r="BD89" s="71">
        <f t="shared" si="89"/>
        <v>3</v>
      </c>
      <c r="BE89" s="71">
        <f t="shared" si="90"/>
        <v>3</v>
      </c>
      <c r="BF89" s="72">
        <f t="shared" si="91"/>
        <v>5</v>
      </c>
      <c r="BG89" s="45"/>
      <c r="BH89" s="56">
        <f t="shared" si="92"/>
        <v>0.81249999999999922</v>
      </c>
      <c r="BI89" s="67">
        <f t="shared" si="93"/>
        <v>44.2</v>
      </c>
      <c r="BJ89" s="68">
        <f t="shared" si="94"/>
        <v>40.9</v>
      </c>
      <c r="BK89" s="68">
        <f t="shared" si="95"/>
        <v>46.7</v>
      </c>
      <c r="BL89" s="68">
        <f t="shared" si="96"/>
        <v>43.3</v>
      </c>
      <c r="BM89" s="68">
        <f t="shared" si="97"/>
        <v>36.1</v>
      </c>
      <c r="BN89" s="68">
        <f t="shared" si="98"/>
        <v>39.700000000000003</v>
      </c>
      <c r="BO89" s="69">
        <f t="shared" si="99"/>
        <v>33.9</v>
      </c>
      <c r="BP89" s="63"/>
      <c r="BQ89" s="64">
        <f t="shared" si="100"/>
        <v>0.81249999999999922</v>
      </c>
      <c r="BR89" s="67" t="str">
        <f t="shared" si="101"/>
        <v/>
      </c>
      <c r="BS89" s="68" t="str">
        <f t="shared" si="102"/>
        <v/>
      </c>
      <c r="BT89" s="68" t="str">
        <f t="shared" si="103"/>
        <v/>
      </c>
      <c r="BU89" s="68" t="str">
        <f t="shared" si="104"/>
        <v/>
      </c>
      <c r="BV89" s="68" t="str">
        <f t="shared" si="105"/>
        <v/>
      </c>
      <c r="BW89" s="68" t="str">
        <f t="shared" si="106"/>
        <v/>
      </c>
      <c r="BX89" s="69" t="str">
        <f t="shared" si="107"/>
        <v/>
      </c>
      <c r="BY89" s="65"/>
      <c r="BZ89" s="66">
        <f t="shared" si="119"/>
        <v>40.68571428571429</v>
      </c>
      <c r="CA89" s="414" t="e">
        <f t="shared" si="108"/>
        <v>#N/A</v>
      </c>
      <c r="CB89" s="416">
        <f t="shared" si="122"/>
        <v>60</v>
      </c>
      <c r="CC89" s="65"/>
      <c r="CD89" s="67">
        <f t="shared" si="109"/>
        <v>0</v>
      </c>
      <c r="CE89" s="68">
        <f t="shared" si="110"/>
        <v>0</v>
      </c>
      <c r="CF89" s="68">
        <f t="shared" si="111"/>
        <v>0</v>
      </c>
      <c r="CG89" s="68">
        <f t="shared" si="112"/>
        <v>0</v>
      </c>
      <c r="CH89" s="68">
        <f t="shared" si="113"/>
        <v>0</v>
      </c>
      <c r="CI89" s="68">
        <f t="shared" si="114"/>
        <v>0</v>
      </c>
      <c r="CJ89" s="69">
        <f t="shared" si="115"/>
        <v>0</v>
      </c>
      <c r="CM89" s="67">
        <f t="shared" si="120"/>
        <v>176.8</v>
      </c>
      <c r="CN89" s="68">
        <f t="shared" si="49"/>
        <v>409</v>
      </c>
      <c r="CO89" s="68">
        <f t="shared" si="50"/>
        <v>233.5</v>
      </c>
      <c r="CP89" s="68">
        <f t="shared" si="51"/>
        <v>389.7</v>
      </c>
      <c r="CQ89" s="68">
        <f t="shared" si="52"/>
        <v>108.30000000000001</v>
      </c>
      <c r="CR89" s="68">
        <f t="shared" si="53"/>
        <v>119.10000000000001</v>
      </c>
      <c r="CS89" s="69">
        <f t="shared" si="54"/>
        <v>169.5</v>
      </c>
      <c r="CU89" s="511">
        <f>SUM(SUMIF($AZ$8:$BF$8, {"NON";"NEUT"}, AZ89:BF89))/config!$AC$16</f>
        <v>6.6</v>
      </c>
      <c r="CV89" s="512">
        <f t="shared" si="121"/>
        <v>0.81249999999999922</v>
      </c>
      <c r="CY89" s="67">
        <f>SUM(C93*$CY$108, C200*$CY$109, C307*$CY$110, C414*$CY$111, C521*$CY$112, C628*$CY$113, C735*$CY$114)/config!$AC$16</f>
        <v>0.2</v>
      </c>
      <c r="CZ89" s="68">
        <f>SUM(SUM(D93:E93)*$CY$108, SUM(D200:E200)*$CY$109, SUM(D307:E307)*$CY$110, SUM(D414:E414)*$CY$111, SUM(D521:E521)*$CY$112, SUM(D628:E628)*$CY$113, SUM(D735:E735)*$CY$114)/config!$AC$16</f>
        <v>6</v>
      </c>
      <c r="DA89" s="68">
        <f>SUM(SUM(F93:G93)*$CY$108, SUM(F200:G200)*$CY$109, SUM(F307:G307)*$CY$110, SUM(F414:G414)*$CY$111, SUM(F521:G521)*$CY$112, SUM(F628:G628)*$CY$113, SUM(F735:G735)*$CY$114)/config!$AC$16</f>
        <v>0.4</v>
      </c>
      <c r="DB89" s="68">
        <f>SUM(H93*$CY$108, H200*$CY$109, H307*$CY$110, H414*$CY$111, H521*$CY$112, H628*$CY$113, H735*$CY$114)/config!$AC$16</f>
        <v>0</v>
      </c>
      <c r="DC89" s="69">
        <f>SUM(SUM(I93:L93)*$CY$108, SUM(I200:L200)*$CY$109, SUM(I307:L307)*$CY$110, SUM(I414:L414)*$CY$111, SUM(I521:L521)*$CY$112, SUM(I628:L628)*$CY$113, SUM(I735:L735)*$CY$114)/config!$AC$16</f>
        <v>0</v>
      </c>
    </row>
    <row r="90" spans="1:107" ht="15.75" thickBot="1" x14ac:dyDescent="0.3">
      <c r="A90" s="440" t="s">
        <v>117</v>
      </c>
      <c r="B90" s="644">
        <v>8</v>
      </c>
      <c r="C90" s="188">
        <v>0</v>
      </c>
      <c r="D90" s="188">
        <v>8</v>
      </c>
      <c r="E90" s="188">
        <v>0</v>
      </c>
      <c r="F90" s="188">
        <v>0</v>
      </c>
      <c r="G90" s="188">
        <v>0</v>
      </c>
      <c r="H90" s="188">
        <v>0</v>
      </c>
      <c r="I90" s="188">
        <v>0</v>
      </c>
      <c r="J90" s="188">
        <v>0</v>
      </c>
      <c r="K90" s="188">
        <v>0</v>
      </c>
      <c r="L90" s="188">
        <v>0</v>
      </c>
      <c r="M90" s="655" t="s">
        <v>24</v>
      </c>
      <c r="N90" s="670" t="s">
        <v>117</v>
      </c>
      <c r="O90" s="644">
        <v>0</v>
      </c>
      <c r="P90" s="188">
        <v>0</v>
      </c>
      <c r="Q90" s="188">
        <v>0</v>
      </c>
      <c r="R90" s="188">
        <v>1</v>
      </c>
      <c r="S90" s="188">
        <v>0</v>
      </c>
      <c r="T90" s="188">
        <v>0</v>
      </c>
      <c r="U90" s="188">
        <v>1</v>
      </c>
      <c r="V90" s="188">
        <v>3</v>
      </c>
      <c r="W90" s="188">
        <v>3</v>
      </c>
      <c r="X90" s="188">
        <v>0</v>
      </c>
      <c r="Y90" s="188">
        <v>0</v>
      </c>
      <c r="Z90" s="188">
        <v>0</v>
      </c>
      <c r="AA90" s="188">
        <v>0</v>
      </c>
      <c r="AB90" s="188">
        <v>0</v>
      </c>
      <c r="AC90" s="189">
        <v>41.1</v>
      </c>
      <c r="AD90" s="189" t="s">
        <v>24</v>
      </c>
      <c r="AE90" s="188">
        <v>0</v>
      </c>
      <c r="AF90" s="189">
        <v>0</v>
      </c>
      <c r="AG90" s="188">
        <v>0</v>
      </c>
      <c r="AH90" s="189">
        <v>0</v>
      </c>
      <c r="AI90" s="188">
        <v>0</v>
      </c>
      <c r="AJ90" s="645">
        <v>0</v>
      </c>
      <c r="AP90" s="401">
        <f t="shared" si="116"/>
        <v>2</v>
      </c>
      <c r="AR90" s="56">
        <f t="shared" si="117"/>
        <v>0.82291666666666585</v>
      </c>
      <c r="AS90" s="67">
        <f>SUM(C94,C201,C308,C415,C522,C629,C736)/config!$AC$13</f>
        <v>0</v>
      </c>
      <c r="AT90" s="68">
        <f>SUM(D94:E94,D201:E201,D308:E308,D415:E415,D522:E522,D629:E629,D736:E736)/config!$AC$13</f>
        <v>5.8571428571428568</v>
      </c>
      <c r="AU90" s="68">
        <f>SUM(F94:G94,F201:G201,F308:G308,F415:G415,F522:G522,F629:G629,F736:G736)/config!$AC$13</f>
        <v>0.2857142857142857</v>
      </c>
      <c r="AV90" s="68">
        <f>SUM(H94,H201,H308,H415,H522,H629,H736)/config!$AC$13</f>
        <v>0</v>
      </c>
      <c r="AW90" s="69">
        <f>SUM(I94:L94,I201:L201,I308:L308,I415:L415,I522:L522,I629:L629,I736:L736)/config!$AC$13</f>
        <v>0</v>
      </c>
      <c r="AY90" s="56">
        <f t="shared" si="118"/>
        <v>0.82291666666666585</v>
      </c>
      <c r="AZ90" s="70">
        <f t="shared" si="85"/>
        <v>6</v>
      </c>
      <c r="BA90" s="71">
        <f t="shared" si="86"/>
        <v>6</v>
      </c>
      <c r="BB90" s="71">
        <f t="shared" si="87"/>
        <v>6</v>
      </c>
      <c r="BC90" s="71">
        <f t="shared" si="88"/>
        <v>4</v>
      </c>
      <c r="BD90" s="71">
        <f t="shared" si="89"/>
        <v>8</v>
      </c>
      <c r="BE90" s="71">
        <f t="shared" si="90"/>
        <v>7</v>
      </c>
      <c r="BF90" s="72">
        <f t="shared" si="91"/>
        <v>6</v>
      </c>
      <c r="BG90" s="45"/>
      <c r="BH90" s="56">
        <f t="shared" si="92"/>
        <v>0.82291666666666585</v>
      </c>
      <c r="BI90" s="67">
        <f t="shared" si="93"/>
        <v>38.4</v>
      </c>
      <c r="BJ90" s="68">
        <f t="shared" si="94"/>
        <v>40.5</v>
      </c>
      <c r="BK90" s="68">
        <f t="shared" si="95"/>
        <v>46.8</v>
      </c>
      <c r="BL90" s="68">
        <f t="shared" si="96"/>
        <v>41.6</v>
      </c>
      <c r="BM90" s="68">
        <f t="shared" si="97"/>
        <v>38.799999999999997</v>
      </c>
      <c r="BN90" s="68">
        <f t="shared" si="98"/>
        <v>38.5</v>
      </c>
      <c r="BO90" s="69">
        <f t="shared" si="99"/>
        <v>38.4</v>
      </c>
      <c r="BP90" s="63"/>
      <c r="BQ90" s="64">
        <f t="shared" si="100"/>
        <v>0.82291666666666585</v>
      </c>
      <c r="BR90" s="67" t="str">
        <f t="shared" si="101"/>
        <v/>
      </c>
      <c r="BS90" s="68" t="str">
        <f t="shared" si="102"/>
        <v/>
      </c>
      <c r="BT90" s="68" t="str">
        <f t="shared" si="103"/>
        <v/>
      </c>
      <c r="BU90" s="68" t="str">
        <f t="shared" si="104"/>
        <v/>
      </c>
      <c r="BV90" s="68" t="str">
        <f t="shared" si="105"/>
        <v/>
      </c>
      <c r="BW90" s="68" t="str">
        <f t="shared" si="106"/>
        <v/>
      </c>
      <c r="BX90" s="69" t="str">
        <f t="shared" si="107"/>
        <v/>
      </c>
      <c r="BY90" s="65"/>
      <c r="BZ90" s="66">
        <f t="shared" si="119"/>
        <v>40.428571428571431</v>
      </c>
      <c r="CA90" s="414" t="e">
        <f t="shared" si="108"/>
        <v>#N/A</v>
      </c>
      <c r="CB90" s="416">
        <f t="shared" si="122"/>
        <v>60</v>
      </c>
      <c r="CC90" s="65"/>
      <c r="CD90" s="67">
        <f t="shared" si="109"/>
        <v>0</v>
      </c>
      <c r="CE90" s="68">
        <f t="shared" si="110"/>
        <v>0</v>
      </c>
      <c r="CF90" s="68">
        <f t="shared" si="111"/>
        <v>0</v>
      </c>
      <c r="CG90" s="68">
        <f t="shared" si="112"/>
        <v>0</v>
      </c>
      <c r="CH90" s="68">
        <f t="shared" si="113"/>
        <v>0</v>
      </c>
      <c r="CI90" s="68">
        <f t="shared" si="114"/>
        <v>0</v>
      </c>
      <c r="CJ90" s="69">
        <f t="shared" si="115"/>
        <v>0</v>
      </c>
      <c r="CM90" s="67">
        <f t="shared" si="120"/>
        <v>230.39999999999998</v>
      </c>
      <c r="CN90" s="68">
        <f t="shared" si="49"/>
        <v>243</v>
      </c>
      <c r="CO90" s="68">
        <f t="shared" si="50"/>
        <v>280.79999999999995</v>
      </c>
      <c r="CP90" s="68">
        <f t="shared" si="51"/>
        <v>166.4</v>
      </c>
      <c r="CQ90" s="68">
        <f t="shared" si="52"/>
        <v>310.39999999999998</v>
      </c>
      <c r="CR90" s="68">
        <f t="shared" si="53"/>
        <v>269.5</v>
      </c>
      <c r="CS90" s="69">
        <f t="shared" si="54"/>
        <v>230.39999999999998</v>
      </c>
      <c r="CU90" s="511">
        <f>SUM(SUMIF($AZ$8:$BF$8, {"NON";"NEUT"}, AZ90:BF90))/config!$AC$16</f>
        <v>5.6</v>
      </c>
      <c r="CV90" s="512">
        <f t="shared" si="121"/>
        <v>0.82291666666666585</v>
      </c>
      <c r="CY90" s="67">
        <f>SUM(C94*$CY$108, C201*$CY$109, C308*$CY$110, C415*$CY$111, C522*$CY$112, C629*$CY$113, C736*$CY$114)/config!$AC$16</f>
        <v>0</v>
      </c>
      <c r="CZ90" s="68">
        <f>SUM(SUM(D94:E94)*$CY$108, SUM(D201:E201)*$CY$109, SUM(D308:E308)*$CY$110, SUM(D415:E415)*$CY$111, SUM(D522:E522)*$CY$112, SUM(D629:E629)*$CY$113, SUM(D736:E736)*$CY$114)/config!$AC$16</f>
        <v>5.2</v>
      </c>
      <c r="DA90" s="68">
        <f>SUM(SUM(F94:G94)*$CY$108, SUM(F201:G201)*$CY$109, SUM(F308:G308)*$CY$110, SUM(F415:G415)*$CY$111, SUM(F522:G522)*$CY$112, SUM(F629:G629)*$CY$113, SUM(F736:G736)*$CY$114)/config!$AC$16</f>
        <v>0.4</v>
      </c>
      <c r="DB90" s="68">
        <f>SUM(H94*$CY$108, H201*$CY$109, H308*$CY$110, H415*$CY$111, H522*$CY$112, H629*$CY$113, H736*$CY$114)/config!$AC$16</f>
        <v>0</v>
      </c>
      <c r="DC90" s="69">
        <f>SUM(SUM(I94:L94)*$CY$108, SUM(I201:L201)*$CY$109, SUM(I308:L308)*$CY$110, SUM(I415:L415)*$CY$111, SUM(I522:L522)*$CY$112, SUM(I629:L629)*$CY$113, SUM(I736:L736)*$CY$114)/config!$AC$16</f>
        <v>0</v>
      </c>
    </row>
    <row r="91" spans="1:107" ht="15" x14ac:dyDescent="0.25">
      <c r="A91" s="440" t="s">
        <v>71</v>
      </c>
      <c r="B91" s="642">
        <v>2</v>
      </c>
      <c r="C91" s="184">
        <v>0</v>
      </c>
      <c r="D91" s="184">
        <v>2</v>
      </c>
      <c r="E91" s="184">
        <v>0</v>
      </c>
      <c r="F91" s="184">
        <v>0</v>
      </c>
      <c r="G91" s="184">
        <v>0</v>
      </c>
      <c r="H91" s="184">
        <v>0</v>
      </c>
      <c r="I91" s="184">
        <v>0</v>
      </c>
      <c r="J91" s="184">
        <v>0</v>
      </c>
      <c r="K91" s="184">
        <v>0</v>
      </c>
      <c r="L91" s="184">
        <v>0</v>
      </c>
      <c r="M91" s="654" t="s">
        <v>24</v>
      </c>
      <c r="N91" s="670" t="s">
        <v>71</v>
      </c>
      <c r="O91" s="642">
        <v>0</v>
      </c>
      <c r="P91" s="184">
        <v>0</v>
      </c>
      <c r="Q91" s="184">
        <v>0</v>
      </c>
      <c r="R91" s="184">
        <v>1</v>
      </c>
      <c r="S91" s="184">
        <v>0</v>
      </c>
      <c r="T91" s="184">
        <v>0</v>
      </c>
      <c r="U91" s="184">
        <v>0</v>
      </c>
      <c r="V91" s="184">
        <v>1</v>
      </c>
      <c r="W91" s="184">
        <v>0</v>
      </c>
      <c r="X91" s="184">
        <v>0</v>
      </c>
      <c r="Y91" s="184">
        <v>0</v>
      </c>
      <c r="Z91" s="184">
        <v>0</v>
      </c>
      <c r="AA91" s="184">
        <v>0</v>
      </c>
      <c r="AB91" s="184">
        <v>0</v>
      </c>
      <c r="AC91" s="185">
        <v>31.7</v>
      </c>
      <c r="AD91" s="185" t="s">
        <v>24</v>
      </c>
      <c r="AE91" s="184">
        <v>0</v>
      </c>
      <c r="AF91" s="185">
        <v>0</v>
      </c>
      <c r="AG91" s="184">
        <v>0</v>
      </c>
      <c r="AH91" s="185">
        <v>0</v>
      </c>
      <c r="AI91" s="184">
        <v>0</v>
      </c>
      <c r="AJ91" s="643">
        <v>0</v>
      </c>
      <c r="AP91" s="401">
        <f t="shared" si="116"/>
        <v>1</v>
      </c>
      <c r="AR91" s="56">
        <f t="shared" si="117"/>
        <v>0.83333333333333248</v>
      </c>
      <c r="AS91" s="67">
        <f>SUM(C95,C202,C309,C416,C523,C630,C737)/config!$AC$13</f>
        <v>0</v>
      </c>
      <c r="AT91" s="68">
        <f>SUM(D95:E95,D202:E202,D309:E309,D416:E416,D523:E523,D630:E630,D737:E737)/config!$AC$13</f>
        <v>5</v>
      </c>
      <c r="AU91" s="68">
        <f>SUM(F95:G95,F202:G202,F309:G309,F416:G416,F523:G523,F630:G630,F737:G737)/config!$AC$13</f>
        <v>0.14285714285714285</v>
      </c>
      <c r="AV91" s="68">
        <f>SUM(H95,H202,H309,H416,H523,H630,H737)/config!$AC$13</f>
        <v>0</v>
      </c>
      <c r="AW91" s="69">
        <f>SUM(I95:L95,I202:L202,I309:L309,I416:L416,I523:L523,I630:L630,I737:L737)/config!$AC$13</f>
        <v>0</v>
      </c>
      <c r="AY91" s="56">
        <f t="shared" si="118"/>
        <v>0.83333333333333248</v>
      </c>
      <c r="AZ91" s="70">
        <f t="shared" si="85"/>
        <v>6</v>
      </c>
      <c r="BA91" s="71">
        <f t="shared" si="86"/>
        <v>2</v>
      </c>
      <c r="BB91" s="71">
        <f t="shared" si="87"/>
        <v>6</v>
      </c>
      <c r="BC91" s="71">
        <f t="shared" si="88"/>
        <v>7</v>
      </c>
      <c r="BD91" s="71">
        <f t="shared" si="89"/>
        <v>1</v>
      </c>
      <c r="BE91" s="71">
        <f t="shared" si="90"/>
        <v>7</v>
      </c>
      <c r="BF91" s="72">
        <f t="shared" si="91"/>
        <v>7</v>
      </c>
      <c r="BG91" s="45"/>
      <c r="BH91" s="56">
        <f t="shared" si="92"/>
        <v>0.83333333333333248</v>
      </c>
      <c r="BI91" s="67">
        <f t="shared" si="93"/>
        <v>40.6</v>
      </c>
      <c r="BJ91" s="68">
        <f t="shared" si="94"/>
        <v>41.8</v>
      </c>
      <c r="BK91" s="68">
        <f t="shared" si="95"/>
        <v>44</v>
      </c>
      <c r="BL91" s="68">
        <f t="shared" si="96"/>
        <v>45.3</v>
      </c>
      <c r="BM91" s="68">
        <f t="shared" si="97"/>
        <v>43.5</v>
      </c>
      <c r="BN91" s="68">
        <f t="shared" si="98"/>
        <v>37.200000000000003</v>
      </c>
      <c r="BO91" s="69">
        <f t="shared" si="99"/>
        <v>39.5</v>
      </c>
      <c r="BP91" s="63"/>
      <c r="BQ91" s="64">
        <f t="shared" si="100"/>
        <v>0.83333333333333248</v>
      </c>
      <c r="BR91" s="67" t="str">
        <f t="shared" si="101"/>
        <v/>
      </c>
      <c r="BS91" s="68" t="str">
        <f t="shared" si="102"/>
        <v/>
      </c>
      <c r="BT91" s="68" t="str">
        <f t="shared" si="103"/>
        <v/>
      </c>
      <c r="BU91" s="68" t="str">
        <f t="shared" si="104"/>
        <v/>
      </c>
      <c r="BV91" s="68" t="str">
        <f t="shared" si="105"/>
        <v/>
      </c>
      <c r="BW91" s="68" t="str">
        <f t="shared" si="106"/>
        <v/>
      </c>
      <c r="BX91" s="69" t="str">
        <f t="shared" si="107"/>
        <v/>
      </c>
      <c r="BY91" s="65"/>
      <c r="BZ91" s="66">
        <f t="shared" si="119"/>
        <v>41.699999999999996</v>
      </c>
      <c r="CA91" s="414" t="e">
        <f t="shared" si="108"/>
        <v>#N/A</v>
      </c>
      <c r="CB91" s="416">
        <f t="shared" si="122"/>
        <v>60</v>
      </c>
      <c r="CC91" s="65"/>
      <c r="CD91" s="67">
        <f t="shared" si="109"/>
        <v>0</v>
      </c>
      <c r="CE91" s="68">
        <f t="shared" si="110"/>
        <v>0</v>
      </c>
      <c r="CF91" s="68">
        <f t="shared" si="111"/>
        <v>0</v>
      </c>
      <c r="CG91" s="68">
        <f t="shared" si="112"/>
        <v>0</v>
      </c>
      <c r="CH91" s="68">
        <f t="shared" si="113"/>
        <v>0</v>
      </c>
      <c r="CI91" s="68">
        <f t="shared" si="114"/>
        <v>0</v>
      </c>
      <c r="CJ91" s="69">
        <f t="shared" si="115"/>
        <v>0</v>
      </c>
      <c r="CM91" s="67">
        <f t="shared" si="120"/>
        <v>243.60000000000002</v>
      </c>
      <c r="CN91" s="68">
        <f t="shared" ref="CN91:CN106" si="123">IFERROR(BA91*BJ91,"")</f>
        <v>83.6</v>
      </c>
      <c r="CO91" s="68">
        <f t="shared" ref="CO91:CO106" si="124">IFERROR(BB91*BK91,"")</f>
        <v>264</v>
      </c>
      <c r="CP91" s="68">
        <f t="shared" ref="CP91:CP106" si="125">IFERROR(BC91*BL91,"")</f>
        <v>317.09999999999997</v>
      </c>
      <c r="CQ91" s="68">
        <f t="shared" ref="CQ91:CQ106" si="126">IFERROR(BD91*BM91,"")</f>
        <v>43.5</v>
      </c>
      <c r="CR91" s="68">
        <f t="shared" ref="CR91:CR106" si="127">IFERROR(BE91*BN91,"")</f>
        <v>260.40000000000003</v>
      </c>
      <c r="CS91" s="69">
        <f t="shared" ref="CS91:CS106" si="128">IFERROR(BF91*BO91,"")</f>
        <v>276.5</v>
      </c>
      <c r="CU91" s="511">
        <f>SUM(SUMIF($AZ$8:$BF$8, {"NON";"NEUT"}, AZ91:BF91))/config!$AC$16</f>
        <v>5.6</v>
      </c>
      <c r="CV91" s="512">
        <f t="shared" si="121"/>
        <v>0.83333333333333248</v>
      </c>
      <c r="CY91" s="67">
        <f>SUM(C95*$CY$108, C202*$CY$109, C309*$CY$110, C416*$CY$111, C523*$CY$112, C630*$CY$113, C737*$CY$114)/config!$AC$16</f>
        <v>0</v>
      </c>
      <c r="CZ91" s="68">
        <f>SUM(SUM(D95:E95)*$CY$108, SUM(D202:E202)*$CY$109, SUM(D309:E309)*$CY$110, SUM(D416:E416)*$CY$111, SUM(D523:E523)*$CY$112, SUM(D630:E630)*$CY$113, SUM(D737:E737)*$CY$114)/config!$AC$16</f>
        <v>5.4</v>
      </c>
      <c r="DA91" s="68">
        <f>SUM(SUM(F95:G95)*$CY$108, SUM(F202:G202)*$CY$109, SUM(F309:G309)*$CY$110, SUM(F416:G416)*$CY$111, SUM(F523:G523)*$CY$112, SUM(F630:G630)*$CY$113, SUM(F737:G737)*$CY$114)/config!$AC$16</f>
        <v>0.2</v>
      </c>
      <c r="DB91" s="68">
        <f>SUM(H95*$CY$108, H202*$CY$109, H309*$CY$110, H416*$CY$111, H523*$CY$112, H630*$CY$113, H737*$CY$114)/config!$AC$16</f>
        <v>0</v>
      </c>
      <c r="DC91" s="69">
        <f>SUM(SUM(I95:L95)*$CY$108, SUM(I202:L202)*$CY$109, SUM(I309:L309)*$CY$110, SUM(I416:L416)*$CY$111, SUM(I523:L523)*$CY$112, SUM(I630:L630)*$CY$113, SUM(I737:L737)*$CY$114)/config!$AC$16</f>
        <v>0</v>
      </c>
    </row>
    <row r="92" spans="1:107" ht="15" x14ac:dyDescent="0.25">
      <c r="A92" s="440" t="s">
        <v>118</v>
      </c>
      <c r="B92" s="642">
        <v>10</v>
      </c>
      <c r="C92" s="184">
        <v>0</v>
      </c>
      <c r="D92" s="184">
        <v>9</v>
      </c>
      <c r="E92" s="184">
        <v>0</v>
      </c>
      <c r="F92" s="184">
        <v>1</v>
      </c>
      <c r="G92" s="184">
        <v>0</v>
      </c>
      <c r="H92" s="184">
        <v>0</v>
      </c>
      <c r="I92" s="184">
        <v>0</v>
      </c>
      <c r="J92" s="184">
        <v>0</v>
      </c>
      <c r="K92" s="184">
        <v>0</v>
      </c>
      <c r="L92" s="184">
        <v>0</v>
      </c>
      <c r="M92" s="654" t="s">
        <v>24</v>
      </c>
      <c r="N92" s="670" t="s">
        <v>118</v>
      </c>
      <c r="O92" s="642">
        <v>0</v>
      </c>
      <c r="P92" s="184">
        <v>0</v>
      </c>
      <c r="Q92" s="184">
        <v>0</v>
      </c>
      <c r="R92" s="184">
        <v>0</v>
      </c>
      <c r="S92" s="184">
        <v>0</v>
      </c>
      <c r="T92" s="184">
        <v>0</v>
      </c>
      <c r="U92" s="184">
        <v>1</v>
      </c>
      <c r="V92" s="184">
        <v>6</v>
      </c>
      <c r="W92" s="184">
        <v>2</v>
      </c>
      <c r="X92" s="184">
        <v>1</v>
      </c>
      <c r="Y92" s="184">
        <v>0</v>
      </c>
      <c r="Z92" s="184">
        <v>0</v>
      </c>
      <c r="AA92" s="184">
        <v>0</v>
      </c>
      <c r="AB92" s="184">
        <v>0</v>
      </c>
      <c r="AC92" s="185">
        <v>44.7</v>
      </c>
      <c r="AD92" s="185" t="s">
        <v>24</v>
      </c>
      <c r="AE92" s="184">
        <v>0</v>
      </c>
      <c r="AF92" s="185">
        <v>0</v>
      </c>
      <c r="AG92" s="184">
        <v>0</v>
      </c>
      <c r="AH92" s="185">
        <v>0</v>
      </c>
      <c r="AI92" s="184">
        <v>0</v>
      </c>
      <c r="AJ92" s="643">
        <v>0</v>
      </c>
      <c r="AP92" s="401">
        <f t="shared" si="116"/>
        <v>2</v>
      </c>
      <c r="AR92" s="56">
        <f t="shared" si="117"/>
        <v>0.84374999999999911</v>
      </c>
      <c r="AS92" s="67">
        <f>SUM(C96,C203,C310,C417,C524,C631,C738)/config!$AC$13</f>
        <v>0</v>
      </c>
      <c r="AT92" s="68">
        <f>SUM(D96:E96,D203:E203,D310:E310,D417:E417,D524:E524,D631:E631,D738:E738)/config!$AC$13</f>
        <v>4.8571428571428568</v>
      </c>
      <c r="AU92" s="68">
        <f>SUM(F96:G96,F203:G203,F310:G310,F417:G417,F524:G524,F631:G631,F738:G738)/config!$AC$13</f>
        <v>0.2857142857142857</v>
      </c>
      <c r="AV92" s="68">
        <f>SUM(H96,H203,H310,H417,H524,H631,H738)/config!$AC$13</f>
        <v>0</v>
      </c>
      <c r="AW92" s="69">
        <f>SUM(I96:L96,I203:L203,I310:L310,I417:L417,I524:L524,I631:L631,I738:L738)/config!$AC$13</f>
        <v>0</v>
      </c>
      <c r="AY92" s="56">
        <f t="shared" si="118"/>
        <v>0.84374999999999911</v>
      </c>
      <c r="AZ92" s="70">
        <f t="shared" si="85"/>
        <v>5</v>
      </c>
      <c r="BA92" s="71">
        <f t="shared" si="86"/>
        <v>6</v>
      </c>
      <c r="BB92" s="71">
        <f t="shared" si="87"/>
        <v>6</v>
      </c>
      <c r="BC92" s="71">
        <f t="shared" si="88"/>
        <v>8</v>
      </c>
      <c r="BD92" s="71">
        <f t="shared" si="89"/>
        <v>3</v>
      </c>
      <c r="BE92" s="71">
        <f t="shared" si="90"/>
        <v>4</v>
      </c>
      <c r="BF92" s="72">
        <f t="shared" si="91"/>
        <v>4</v>
      </c>
      <c r="BG92" s="45"/>
      <c r="BH92" s="56">
        <f t="shared" si="92"/>
        <v>0.84374999999999911</v>
      </c>
      <c r="BI92" s="67">
        <f t="shared" si="93"/>
        <v>46.7</v>
      </c>
      <c r="BJ92" s="68">
        <f t="shared" si="94"/>
        <v>40.799999999999997</v>
      </c>
      <c r="BK92" s="68">
        <f t="shared" si="95"/>
        <v>39</v>
      </c>
      <c r="BL92" s="68">
        <f t="shared" si="96"/>
        <v>43.4</v>
      </c>
      <c r="BM92" s="68">
        <f t="shared" si="97"/>
        <v>42.6</v>
      </c>
      <c r="BN92" s="68">
        <f t="shared" si="98"/>
        <v>45.4</v>
      </c>
      <c r="BO92" s="69">
        <f t="shared" si="99"/>
        <v>49.8</v>
      </c>
      <c r="BP92" s="63"/>
      <c r="BQ92" s="64">
        <f t="shared" si="100"/>
        <v>0.84374999999999911</v>
      </c>
      <c r="BR92" s="67" t="str">
        <f t="shared" si="101"/>
        <v/>
      </c>
      <c r="BS92" s="68" t="str">
        <f t="shared" si="102"/>
        <v/>
      </c>
      <c r="BT92" s="68" t="str">
        <f t="shared" si="103"/>
        <v/>
      </c>
      <c r="BU92" s="68" t="str">
        <f t="shared" si="104"/>
        <v/>
      </c>
      <c r="BV92" s="68" t="str">
        <f t="shared" si="105"/>
        <v/>
      </c>
      <c r="BW92" s="68" t="str">
        <f t="shared" si="106"/>
        <v/>
      </c>
      <c r="BX92" s="69" t="str">
        <f t="shared" si="107"/>
        <v/>
      </c>
      <c r="BY92" s="65"/>
      <c r="BZ92" s="66">
        <f t="shared" si="119"/>
        <v>43.957142857142856</v>
      </c>
      <c r="CA92" s="414" t="e">
        <f t="shared" si="108"/>
        <v>#N/A</v>
      </c>
      <c r="CB92" s="416">
        <f t="shared" si="122"/>
        <v>60</v>
      </c>
      <c r="CC92" s="65"/>
      <c r="CD92" s="67">
        <f t="shared" si="109"/>
        <v>1</v>
      </c>
      <c r="CE92" s="68">
        <f t="shared" si="110"/>
        <v>0</v>
      </c>
      <c r="CF92" s="68">
        <f t="shared" si="111"/>
        <v>0</v>
      </c>
      <c r="CG92" s="68">
        <f t="shared" si="112"/>
        <v>1</v>
      </c>
      <c r="CH92" s="68">
        <f t="shared" si="113"/>
        <v>0</v>
      </c>
      <c r="CI92" s="68">
        <f t="shared" si="114"/>
        <v>0</v>
      </c>
      <c r="CJ92" s="69">
        <f t="shared" si="115"/>
        <v>0</v>
      </c>
      <c r="CM92" s="67">
        <f t="shared" si="120"/>
        <v>233.5</v>
      </c>
      <c r="CN92" s="68">
        <f t="shared" si="123"/>
        <v>244.79999999999998</v>
      </c>
      <c r="CO92" s="68">
        <f t="shared" si="124"/>
        <v>234</v>
      </c>
      <c r="CP92" s="68">
        <f t="shared" si="125"/>
        <v>347.2</v>
      </c>
      <c r="CQ92" s="68">
        <f t="shared" si="126"/>
        <v>127.80000000000001</v>
      </c>
      <c r="CR92" s="68">
        <f t="shared" si="127"/>
        <v>181.6</v>
      </c>
      <c r="CS92" s="69">
        <f t="shared" si="128"/>
        <v>199.2</v>
      </c>
      <c r="CU92" s="511">
        <f>SUM(SUMIF($AZ$8:$BF$8, {"NON";"NEUT"}, AZ92:BF92))/config!$AC$16</f>
        <v>5.8</v>
      </c>
      <c r="CV92" s="512">
        <f t="shared" si="121"/>
        <v>0.84374999999999911</v>
      </c>
      <c r="CY92" s="67">
        <f>SUM(C96*$CY$108, C203*$CY$109, C310*$CY$110, C417*$CY$111, C524*$CY$112, C631*$CY$113, C738*$CY$114)/config!$AC$16</f>
        <v>0</v>
      </c>
      <c r="CZ92" s="68">
        <f>SUM(SUM(D96:E96)*$CY$108, SUM(D203:E203)*$CY$109, SUM(D310:E310)*$CY$110, SUM(D417:E417)*$CY$111, SUM(D524:E524)*$CY$112, SUM(D631:E631)*$CY$113, SUM(D738:E738)*$CY$114)/config!$AC$16</f>
        <v>5.4</v>
      </c>
      <c r="DA92" s="68">
        <f>SUM(SUM(F96:G96)*$CY$108, SUM(F203:G203)*$CY$109, SUM(F310:G310)*$CY$110, SUM(F417:G417)*$CY$111, SUM(F524:G524)*$CY$112, SUM(F631:G631)*$CY$113, SUM(F738:G738)*$CY$114)/config!$AC$16</f>
        <v>0.4</v>
      </c>
      <c r="DB92" s="68">
        <f>SUM(H96*$CY$108, H203*$CY$109, H310*$CY$110, H417*$CY$111, H524*$CY$112, H631*$CY$113, H738*$CY$114)/config!$AC$16</f>
        <v>0</v>
      </c>
      <c r="DC92" s="69">
        <f>SUM(SUM(I96:L96)*$CY$108, SUM(I203:L203)*$CY$109, SUM(I310:L310)*$CY$110, SUM(I417:L417)*$CY$111, SUM(I524:L524)*$CY$112, SUM(I631:L631)*$CY$113, SUM(I738:L738)*$CY$114)/config!$AC$16</f>
        <v>0</v>
      </c>
    </row>
    <row r="93" spans="1:107" ht="15" x14ac:dyDescent="0.25">
      <c r="A93" s="440" t="s">
        <v>119</v>
      </c>
      <c r="B93" s="642">
        <v>4</v>
      </c>
      <c r="C93" s="184">
        <v>0</v>
      </c>
      <c r="D93" s="184">
        <v>4</v>
      </c>
      <c r="E93" s="184">
        <v>0</v>
      </c>
      <c r="F93" s="184">
        <v>0</v>
      </c>
      <c r="G93" s="184">
        <v>0</v>
      </c>
      <c r="H93" s="184">
        <v>0</v>
      </c>
      <c r="I93" s="184">
        <v>0</v>
      </c>
      <c r="J93" s="184">
        <v>0</v>
      </c>
      <c r="K93" s="184">
        <v>0</v>
      </c>
      <c r="L93" s="184">
        <v>0</v>
      </c>
      <c r="M93" s="654" t="s">
        <v>24</v>
      </c>
      <c r="N93" s="670" t="s">
        <v>119</v>
      </c>
      <c r="O93" s="642">
        <v>0</v>
      </c>
      <c r="P93" s="184">
        <v>0</v>
      </c>
      <c r="Q93" s="184">
        <v>0</v>
      </c>
      <c r="R93" s="184">
        <v>0</v>
      </c>
      <c r="S93" s="184">
        <v>0</v>
      </c>
      <c r="T93" s="184">
        <v>0</v>
      </c>
      <c r="U93" s="184">
        <v>2</v>
      </c>
      <c r="V93" s="184">
        <v>1</v>
      </c>
      <c r="W93" s="184">
        <v>0</v>
      </c>
      <c r="X93" s="184">
        <v>1</v>
      </c>
      <c r="Y93" s="184">
        <v>0</v>
      </c>
      <c r="Z93" s="184">
        <v>0</v>
      </c>
      <c r="AA93" s="184">
        <v>0</v>
      </c>
      <c r="AB93" s="184">
        <v>0</v>
      </c>
      <c r="AC93" s="185">
        <v>44.2</v>
      </c>
      <c r="AD93" s="185" t="s">
        <v>24</v>
      </c>
      <c r="AE93" s="184">
        <v>0</v>
      </c>
      <c r="AF93" s="185">
        <v>0</v>
      </c>
      <c r="AG93" s="184">
        <v>0</v>
      </c>
      <c r="AH93" s="185">
        <v>0</v>
      </c>
      <c r="AI93" s="184">
        <v>0</v>
      </c>
      <c r="AJ93" s="643">
        <v>0</v>
      </c>
      <c r="AP93" s="401">
        <f t="shared" si="116"/>
        <v>1</v>
      </c>
      <c r="AR93" s="56">
        <f t="shared" si="117"/>
        <v>0.85416666666666574</v>
      </c>
      <c r="AS93" s="67">
        <f>SUM(C97,C204,C311,C418,C525,C632,C739)/config!$AC$13</f>
        <v>0</v>
      </c>
      <c r="AT93" s="68">
        <f>SUM(D97:E97,D204:E204,D311:E311,D418:E418,D525:E525,D632:E632,D739:E739)/config!$AC$13</f>
        <v>3.5714285714285716</v>
      </c>
      <c r="AU93" s="68">
        <f>SUM(F97:G97,F204:G204,F311:G311,F418:G418,F525:G525,F632:G632,F739:G739)/config!$AC$13</f>
        <v>0.14285714285714285</v>
      </c>
      <c r="AV93" s="68">
        <f>SUM(H97,H204,H311,H418,H525,H632,H739)/config!$AC$13</f>
        <v>0</v>
      </c>
      <c r="AW93" s="69">
        <f>SUM(I97:L97,I204:L204,I311:L311,I418:L418,I525:L525,I632:L632,I739:L739)/config!$AC$13</f>
        <v>0</v>
      </c>
      <c r="AY93" s="56">
        <f t="shared" si="118"/>
        <v>0.85416666666666574</v>
      </c>
      <c r="AZ93" s="70">
        <f t="shared" si="85"/>
        <v>4</v>
      </c>
      <c r="BA93" s="71">
        <f t="shared" si="86"/>
        <v>2</v>
      </c>
      <c r="BB93" s="71">
        <f t="shared" si="87"/>
        <v>4</v>
      </c>
      <c r="BC93" s="71">
        <f t="shared" si="88"/>
        <v>4</v>
      </c>
      <c r="BD93" s="71">
        <f t="shared" si="89"/>
        <v>7</v>
      </c>
      <c r="BE93" s="71">
        <f t="shared" si="90"/>
        <v>2</v>
      </c>
      <c r="BF93" s="72">
        <f t="shared" si="91"/>
        <v>3</v>
      </c>
      <c r="BG93" s="45"/>
      <c r="BH93" s="56">
        <f t="shared" si="92"/>
        <v>0.85416666666666574</v>
      </c>
      <c r="BI93" s="67">
        <f t="shared" si="93"/>
        <v>39.299999999999997</v>
      </c>
      <c r="BJ93" s="68">
        <f t="shared" si="94"/>
        <v>44.6</v>
      </c>
      <c r="BK93" s="68">
        <f t="shared" si="95"/>
        <v>37.299999999999997</v>
      </c>
      <c r="BL93" s="68">
        <f t="shared" si="96"/>
        <v>38.200000000000003</v>
      </c>
      <c r="BM93" s="68">
        <f t="shared" si="97"/>
        <v>40.6</v>
      </c>
      <c r="BN93" s="68">
        <f t="shared" si="98"/>
        <v>41</v>
      </c>
      <c r="BO93" s="69">
        <f t="shared" si="99"/>
        <v>37.1</v>
      </c>
      <c r="BP93" s="63"/>
      <c r="BQ93" s="64">
        <f t="shared" si="100"/>
        <v>0.85416666666666574</v>
      </c>
      <c r="BR93" s="67" t="str">
        <f t="shared" si="101"/>
        <v/>
      </c>
      <c r="BS93" s="68" t="str">
        <f t="shared" si="102"/>
        <v/>
      </c>
      <c r="BT93" s="68" t="str">
        <f t="shared" si="103"/>
        <v/>
      </c>
      <c r="BU93" s="68" t="str">
        <f t="shared" si="104"/>
        <v/>
      </c>
      <c r="BV93" s="68" t="str">
        <f t="shared" si="105"/>
        <v/>
      </c>
      <c r="BW93" s="68" t="str">
        <f t="shared" si="106"/>
        <v/>
      </c>
      <c r="BX93" s="69" t="str">
        <f t="shared" si="107"/>
        <v/>
      </c>
      <c r="BY93" s="65"/>
      <c r="BZ93" s="66">
        <f t="shared" si="119"/>
        <v>39.728571428571435</v>
      </c>
      <c r="CA93" s="414" t="e">
        <f t="shared" si="108"/>
        <v>#N/A</v>
      </c>
      <c r="CB93" s="416">
        <f t="shared" si="122"/>
        <v>60</v>
      </c>
      <c r="CC93" s="65"/>
      <c r="CD93" s="67">
        <f t="shared" si="109"/>
        <v>0</v>
      </c>
      <c r="CE93" s="68">
        <f t="shared" si="110"/>
        <v>0</v>
      </c>
      <c r="CF93" s="68">
        <f t="shared" si="111"/>
        <v>0</v>
      </c>
      <c r="CG93" s="68">
        <f t="shared" si="112"/>
        <v>0</v>
      </c>
      <c r="CH93" s="68">
        <f t="shared" si="113"/>
        <v>0</v>
      </c>
      <c r="CI93" s="68">
        <f t="shared" si="114"/>
        <v>0</v>
      </c>
      <c r="CJ93" s="69">
        <f t="shared" si="115"/>
        <v>0</v>
      </c>
      <c r="CM93" s="67">
        <f t="shared" si="120"/>
        <v>157.19999999999999</v>
      </c>
      <c r="CN93" s="68">
        <f t="shared" si="123"/>
        <v>89.2</v>
      </c>
      <c r="CO93" s="68">
        <f t="shared" si="124"/>
        <v>149.19999999999999</v>
      </c>
      <c r="CP93" s="68">
        <f t="shared" si="125"/>
        <v>152.80000000000001</v>
      </c>
      <c r="CQ93" s="68">
        <f t="shared" si="126"/>
        <v>284.2</v>
      </c>
      <c r="CR93" s="68">
        <f t="shared" si="127"/>
        <v>82</v>
      </c>
      <c r="CS93" s="69">
        <f t="shared" si="128"/>
        <v>111.30000000000001</v>
      </c>
      <c r="CU93" s="511">
        <f>SUM(SUMIF($AZ$8:$BF$8, {"NON";"NEUT"}, AZ93:BF93))/config!$AC$16</f>
        <v>3.4</v>
      </c>
      <c r="CV93" s="512">
        <f t="shared" si="121"/>
        <v>0.85416666666666574</v>
      </c>
      <c r="CY93" s="67">
        <f>SUM(C97*$CY$108, C204*$CY$109, C311*$CY$110, C418*$CY$111, C525*$CY$112, C632*$CY$113, C739*$CY$114)/config!$AC$16</f>
        <v>0</v>
      </c>
      <c r="CZ93" s="68">
        <f>SUM(SUM(D97:E97)*$CY$108, SUM(D204:E204)*$CY$109, SUM(D311:E311)*$CY$110, SUM(D418:E418)*$CY$111, SUM(D525:E525)*$CY$112, SUM(D632:E632)*$CY$113, SUM(D739:E739)*$CY$114)/config!$AC$16</f>
        <v>3.4</v>
      </c>
      <c r="DA93" s="68">
        <f>SUM(SUM(F97:G97)*$CY$108, SUM(F204:G204)*$CY$109, SUM(F311:G311)*$CY$110, SUM(F418:G418)*$CY$111, SUM(F525:G525)*$CY$112, SUM(F632:G632)*$CY$113, SUM(F739:G739)*$CY$114)/config!$AC$16</f>
        <v>0</v>
      </c>
      <c r="DB93" s="68">
        <f>SUM(H97*$CY$108, H204*$CY$109, H311*$CY$110, H418*$CY$111, H525*$CY$112, H632*$CY$113, H739*$CY$114)/config!$AC$16</f>
        <v>0</v>
      </c>
      <c r="DC93" s="69">
        <f>SUM(SUM(I97:L97)*$CY$108, SUM(I204:L204)*$CY$109, SUM(I311:L311)*$CY$110, SUM(I418:L418)*$CY$111, SUM(I525:L525)*$CY$112, SUM(I632:L632)*$CY$113, SUM(I739:L739)*$CY$114)/config!$AC$16</f>
        <v>0</v>
      </c>
    </row>
    <row r="94" spans="1:107" ht="15" x14ac:dyDescent="0.25">
      <c r="A94" s="440" t="s">
        <v>120</v>
      </c>
      <c r="B94" s="642">
        <v>6</v>
      </c>
      <c r="C94" s="184">
        <v>0</v>
      </c>
      <c r="D94" s="184">
        <v>6</v>
      </c>
      <c r="E94" s="184">
        <v>0</v>
      </c>
      <c r="F94" s="184">
        <v>0</v>
      </c>
      <c r="G94" s="184">
        <v>0</v>
      </c>
      <c r="H94" s="184">
        <v>0</v>
      </c>
      <c r="I94" s="184">
        <v>0</v>
      </c>
      <c r="J94" s="184">
        <v>0</v>
      </c>
      <c r="K94" s="184">
        <v>0</v>
      </c>
      <c r="L94" s="184">
        <v>0</v>
      </c>
      <c r="M94" s="654" t="s">
        <v>24</v>
      </c>
      <c r="N94" s="670" t="s">
        <v>120</v>
      </c>
      <c r="O94" s="642">
        <v>0</v>
      </c>
      <c r="P94" s="184">
        <v>0</v>
      </c>
      <c r="Q94" s="184">
        <v>0</v>
      </c>
      <c r="R94" s="184">
        <v>0</v>
      </c>
      <c r="S94" s="184">
        <v>0</v>
      </c>
      <c r="T94" s="184">
        <v>1</v>
      </c>
      <c r="U94" s="184">
        <v>2</v>
      </c>
      <c r="V94" s="184">
        <v>3</v>
      </c>
      <c r="W94" s="184">
        <v>0</v>
      </c>
      <c r="X94" s="184">
        <v>0</v>
      </c>
      <c r="Y94" s="184">
        <v>0</v>
      </c>
      <c r="Z94" s="184">
        <v>0</v>
      </c>
      <c r="AA94" s="184">
        <v>0</v>
      </c>
      <c r="AB94" s="184">
        <v>0</v>
      </c>
      <c r="AC94" s="185">
        <v>38.4</v>
      </c>
      <c r="AD94" s="185" t="s">
        <v>24</v>
      </c>
      <c r="AE94" s="184">
        <v>0</v>
      </c>
      <c r="AF94" s="185">
        <v>0</v>
      </c>
      <c r="AG94" s="184">
        <v>0</v>
      </c>
      <c r="AH94" s="185">
        <v>0</v>
      </c>
      <c r="AI94" s="184">
        <v>0</v>
      </c>
      <c r="AJ94" s="643">
        <v>0</v>
      </c>
      <c r="AP94" s="401">
        <f t="shared" si="116"/>
        <v>3</v>
      </c>
      <c r="AR94" s="56">
        <f t="shared" si="117"/>
        <v>0.86458333333333237</v>
      </c>
      <c r="AS94" s="67">
        <f>SUM(C98,C205,C312,C419,C526,C633,C740)/config!$AC$13</f>
        <v>0</v>
      </c>
      <c r="AT94" s="68">
        <f>SUM(D98:E98,D205:E205,D312:E312,D419:E419,D526:E526,D633:E633,D740:E740)/config!$AC$13</f>
        <v>3.4285714285714284</v>
      </c>
      <c r="AU94" s="68">
        <f>SUM(F98:G98,F205:G205,F312:G312,F419:G419,F526:G526,F633:G633,F740:G740)/config!$AC$13</f>
        <v>0.42857142857142855</v>
      </c>
      <c r="AV94" s="68">
        <f>SUM(H98,H205,H312,H419,H526,H633,H740)/config!$AC$13</f>
        <v>0</v>
      </c>
      <c r="AW94" s="69">
        <f>SUM(I98:L98,I205:L205,I312:L312,I419:L419,I526:L526,I633:L633,I740:L740)/config!$AC$13</f>
        <v>0</v>
      </c>
      <c r="AY94" s="56">
        <f t="shared" si="118"/>
        <v>0.86458333333333237</v>
      </c>
      <c r="AZ94" s="70">
        <f t="shared" si="85"/>
        <v>6</v>
      </c>
      <c r="BA94" s="71">
        <f t="shared" si="86"/>
        <v>2</v>
      </c>
      <c r="BB94" s="71">
        <f t="shared" si="87"/>
        <v>6</v>
      </c>
      <c r="BC94" s="71">
        <f t="shared" si="88"/>
        <v>4</v>
      </c>
      <c r="BD94" s="71">
        <f t="shared" si="89"/>
        <v>3</v>
      </c>
      <c r="BE94" s="71">
        <f t="shared" si="90"/>
        <v>5</v>
      </c>
      <c r="BF94" s="72">
        <f t="shared" si="91"/>
        <v>1</v>
      </c>
      <c r="BG94" s="45"/>
      <c r="BH94" s="56">
        <f t="shared" si="92"/>
        <v>0.86458333333333237</v>
      </c>
      <c r="BI94" s="67">
        <f t="shared" si="93"/>
        <v>45.1</v>
      </c>
      <c r="BJ94" s="68">
        <f t="shared" si="94"/>
        <v>34.799999999999997</v>
      </c>
      <c r="BK94" s="68">
        <f t="shared" si="95"/>
        <v>42.2</v>
      </c>
      <c r="BL94" s="68">
        <f t="shared" si="96"/>
        <v>43</v>
      </c>
      <c r="BM94" s="68">
        <f t="shared" si="97"/>
        <v>38.5</v>
      </c>
      <c r="BN94" s="68">
        <f t="shared" si="98"/>
        <v>37.6</v>
      </c>
      <c r="BO94" s="69">
        <f t="shared" si="99"/>
        <v>26.1</v>
      </c>
      <c r="BP94" s="63"/>
      <c r="BQ94" s="64">
        <f t="shared" si="100"/>
        <v>0.86458333333333237</v>
      </c>
      <c r="BR94" s="67" t="str">
        <f t="shared" si="101"/>
        <v/>
      </c>
      <c r="BS94" s="68" t="str">
        <f t="shared" si="102"/>
        <v/>
      </c>
      <c r="BT94" s="68" t="str">
        <f t="shared" si="103"/>
        <v/>
      </c>
      <c r="BU94" s="68" t="str">
        <f t="shared" si="104"/>
        <v/>
      </c>
      <c r="BV94" s="68" t="str">
        <f t="shared" si="105"/>
        <v/>
      </c>
      <c r="BW94" s="68" t="str">
        <f t="shared" si="106"/>
        <v/>
      </c>
      <c r="BX94" s="69" t="str">
        <f t="shared" si="107"/>
        <v/>
      </c>
      <c r="BY94" s="65"/>
      <c r="BZ94" s="66">
        <f t="shared" si="119"/>
        <v>38.18571428571429</v>
      </c>
      <c r="CA94" s="414" t="e">
        <f t="shared" si="108"/>
        <v>#N/A</v>
      </c>
      <c r="CB94" s="416">
        <f t="shared" si="122"/>
        <v>60</v>
      </c>
      <c r="CC94" s="65"/>
      <c r="CD94" s="67">
        <f t="shared" si="109"/>
        <v>0</v>
      </c>
      <c r="CE94" s="68">
        <f t="shared" si="110"/>
        <v>0</v>
      </c>
      <c r="CF94" s="68">
        <f t="shared" si="111"/>
        <v>0</v>
      </c>
      <c r="CG94" s="68">
        <f t="shared" si="112"/>
        <v>0</v>
      </c>
      <c r="CH94" s="68">
        <f t="shared" si="113"/>
        <v>0</v>
      </c>
      <c r="CI94" s="68">
        <f t="shared" si="114"/>
        <v>0</v>
      </c>
      <c r="CJ94" s="69">
        <f t="shared" si="115"/>
        <v>0</v>
      </c>
      <c r="CM94" s="67">
        <f t="shared" si="120"/>
        <v>270.60000000000002</v>
      </c>
      <c r="CN94" s="68">
        <f t="shared" si="123"/>
        <v>69.599999999999994</v>
      </c>
      <c r="CO94" s="68">
        <f t="shared" si="124"/>
        <v>253.20000000000002</v>
      </c>
      <c r="CP94" s="68">
        <f t="shared" si="125"/>
        <v>172</v>
      </c>
      <c r="CQ94" s="68">
        <f t="shared" si="126"/>
        <v>115.5</v>
      </c>
      <c r="CR94" s="68">
        <f t="shared" si="127"/>
        <v>188</v>
      </c>
      <c r="CS94" s="69">
        <f t="shared" si="128"/>
        <v>26.1</v>
      </c>
      <c r="CU94" s="511">
        <f>SUM(SUMIF($AZ$8:$BF$8, {"NON";"NEUT"}, AZ94:BF94))/config!$AC$16</f>
        <v>3.8</v>
      </c>
      <c r="CV94" s="512">
        <f t="shared" si="121"/>
        <v>0.86458333333333237</v>
      </c>
      <c r="CY94" s="67">
        <f>SUM(C98*$CY$108, C205*$CY$109, C312*$CY$110, C419*$CY$111, C526*$CY$112, C633*$CY$113, C740*$CY$114)/config!$AC$16</f>
        <v>0</v>
      </c>
      <c r="CZ94" s="68">
        <f>SUM(SUM(D98:E98)*$CY$108, SUM(D205:E205)*$CY$109, SUM(D312:E312)*$CY$110, SUM(D419:E419)*$CY$111, SUM(D526:E526)*$CY$112, SUM(D633:E633)*$CY$113, SUM(D740:E740)*$CY$114)/config!$AC$16</f>
        <v>3.2</v>
      </c>
      <c r="DA94" s="68">
        <f>SUM(SUM(F98:G98)*$CY$108, SUM(F205:G205)*$CY$109, SUM(F312:G312)*$CY$110, SUM(F419:G419)*$CY$111, SUM(F526:G526)*$CY$112, SUM(F633:G633)*$CY$113, SUM(F740:G740)*$CY$114)/config!$AC$16</f>
        <v>0.6</v>
      </c>
      <c r="DB94" s="68">
        <f>SUM(H98*$CY$108, H205*$CY$109, H312*$CY$110, H419*$CY$111, H526*$CY$112, H633*$CY$113, H740*$CY$114)/config!$AC$16</f>
        <v>0</v>
      </c>
      <c r="DC94" s="69">
        <f>SUM(SUM(I98:L98)*$CY$108, SUM(I205:L205)*$CY$109, SUM(I312:L312)*$CY$110, SUM(I419:L419)*$CY$111, SUM(I526:L526)*$CY$112, SUM(I633:L633)*$CY$113, SUM(I740:L740)*$CY$114)/config!$AC$16</f>
        <v>0</v>
      </c>
    </row>
    <row r="95" spans="1:107" ht="15" x14ac:dyDescent="0.25">
      <c r="A95" s="440" t="s">
        <v>72</v>
      </c>
      <c r="B95" s="642">
        <v>6</v>
      </c>
      <c r="C95" s="184">
        <v>0</v>
      </c>
      <c r="D95" s="184">
        <v>6</v>
      </c>
      <c r="E95" s="184">
        <v>0</v>
      </c>
      <c r="F95" s="184">
        <v>0</v>
      </c>
      <c r="G95" s="184">
        <v>0</v>
      </c>
      <c r="H95" s="184">
        <v>0</v>
      </c>
      <c r="I95" s="184">
        <v>0</v>
      </c>
      <c r="J95" s="184">
        <v>0</v>
      </c>
      <c r="K95" s="184">
        <v>0</v>
      </c>
      <c r="L95" s="184">
        <v>0</v>
      </c>
      <c r="M95" s="654" t="s">
        <v>24</v>
      </c>
      <c r="N95" s="670" t="s">
        <v>72</v>
      </c>
      <c r="O95" s="642">
        <v>0</v>
      </c>
      <c r="P95" s="184">
        <v>0</v>
      </c>
      <c r="Q95" s="184">
        <v>0</v>
      </c>
      <c r="R95" s="184">
        <v>0</v>
      </c>
      <c r="S95" s="184">
        <v>0</v>
      </c>
      <c r="T95" s="184">
        <v>1</v>
      </c>
      <c r="U95" s="184">
        <v>4</v>
      </c>
      <c r="V95" s="184">
        <v>0</v>
      </c>
      <c r="W95" s="184">
        <v>0</v>
      </c>
      <c r="X95" s="184">
        <v>1</v>
      </c>
      <c r="Y95" s="184">
        <v>0</v>
      </c>
      <c r="Z95" s="184">
        <v>0</v>
      </c>
      <c r="AA95" s="184">
        <v>0</v>
      </c>
      <c r="AB95" s="184">
        <v>0</v>
      </c>
      <c r="AC95" s="185">
        <v>40.6</v>
      </c>
      <c r="AD95" s="185" t="s">
        <v>24</v>
      </c>
      <c r="AE95" s="184">
        <v>0</v>
      </c>
      <c r="AF95" s="185">
        <v>0</v>
      </c>
      <c r="AG95" s="184">
        <v>0</v>
      </c>
      <c r="AH95" s="185">
        <v>0</v>
      </c>
      <c r="AI95" s="184">
        <v>0</v>
      </c>
      <c r="AJ95" s="643">
        <v>0</v>
      </c>
      <c r="AP95" s="401">
        <f t="shared" si="116"/>
        <v>2</v>
      </c>
      <c r="AR95" s="56">
        <f t="shared" si="117"/>
        <v>0.874999999999999</v>
      </c>
      <c r="AS95" s="67">
        <f>SUM(C99,C206,C313,C420,C527,C634,C741)/config!$AC$13</f>
        <v>0.14285714285714285</v>
      </c>
      <c r="AT95" s="68">
        <f>SUM(D99:E99,D206:E206,D313:E313,D420:E420,D527:E527,D634:E634,D741:E741)/config!$AC$13</f>
        <v>3</v>
      </c>
      <c r="AU95" s="68">
        <f>SUM(F99:G99,F206:G206,F313:G313,F420:G420,F527:G527,F634:G634,F741:G741)/config!$AC$13</f>
        <v>0.2857142857142857</v>
      </c>
      <c r="AV95" s="68">
        <f>SUM(H99,H206,H313,H420,H527,H634,H741)/config!$AC$13</f>
        <v>0</v>
      </c>
      <c r="AW95" s="69">
        <f>SUM(I99:L99,I206:L206,I313:L313,I420:L420,I527:L527,I634:L634,I741:L741)/config!$AC$13</f>
        <v>0</v>
      </c>
      <c r="AY95" s="56">
        <f t="shared" si="118"/>
        <v>0.874999999999999</v>
      </c>
      <c r="AZ95" s="70">
        <f t="shared" si="85"/>
        <v>7</v>
      </c>
      <c r="BA95" s="71">
        <f t="shared" si="86"/>
        <v>6</v>
      </c>
      <c r="BB95" s="71">
        <f t="shared" si="87"/>
        <v>3</v>
      </c>
      <c r="BC95" s="71">
        <f t="shared" si="88"/>
        <v>3</v>
      </c>
      <c r="BD95" s="71">
        <f t="shared" si="89"/>
        <v>2</v>
      </c>
      <c r="BE95" s="71">
        <f t="shared" si="90"/>
        <v>1</v>
      </c>
      <c r="BF95" s="72">
        <f t="shared" si="91"/>
        <v>2</v>
      </c>
      <c r="BG95" s="45"/>
      <c r="BH95" s="56">
        <f t="shared" si="92"/>
        <v>0.874999999999999</v>
      </c>
      <c r="BI95" s="67">
        <f t="shared" si="93"/>
        <v>43.6</v>
      </c>
      <c r="BJ95" s="68">
        <f t="shared" si="94"/>
        <v>39.5</v>
      </c>
      <c r="BK95" s="68">
        <f t="shared" si="95"/>
        <v>43.5</v>
      </c>
      <c r="BL95" s="68">
        <f t="shared" si="96"/>
        <v>49</v>
      </c>
      <c r="BM95" s="68">
        <f t="shared" si="97"/>
        <v>32.4</v>
      </c>
      <c r="BN95" s="68">
        <f t="shared" si="98"/>
        <v>37.200000000000003</v>
      </c>
      <c r="BO95" s="69">
        <f t="shared" si="99"/>
        <v>44.3</v>
      </c>
      <c r="BP95" s="63"/>
      <c r="BQ95" s="64">
        <f t="shared" si="100"/>
        <v>0.874999999999999</v>
      </c>
      <c r="BR95" s="67" t="str">
        <f t="shared" si="101"/>
        <v/>
      </c>
      <c r="BS95" s="68" t="str">
        <f t="shared" si="102"/>
        <v/>
      </c>
      <c r="BT95" s="68" t="str">
        <f t="shared" si="103"/>
        <v/>
      </c>
      <c r="BU95" s="68" t="str">
        <f t="shared" si="104"/>
        <v/>
      </c>
      <c r="BV95" s="68" t="str">
        <f t="shared" si="105"/>
        <v/>
      </c>
      <c r="BW95" s="68" t="str">
        <f t="shared" si="106"/>
        <v/>
      </c>
      <c r="BX95" s="69" t="str">
        <f t="shared" si="107"/>
        <v/>
      </c>
      <c r="BY95" s="65"/>
      <c r="BZ95" s="66">
        <f t="shared" si="119"/>
        <v>41.357142857142854</v>
      </c>
      <c r="CA95" s="414" t="e">
        <f t="shared" si="108"/>
        <v>#N/A</v>
      </c>
      <c r="CB95" s="416">
        <f t="shared" si="122"/>
        <v>60</v>
      </c>
      <c r="CC95" s="65"/>
      <c r="CD95" s="67">
        <f t="shared" si="109"/>
        <v>0</v>
      </c>
      <c r="CE95" s="68">
        <f t="shared" si="110"/>
        <v>0</v>
      </c>
      <c r="CF95" s="68">
        <f t="shared" si="111"/>
        <v>0</v>
      </c>
      <c r="CG95" s="68">
        <f t="shared" si="112"/>
        <v>0</v>
      </c>
      <c r="CH95" s="68">
        <f t="shared" si="113"/>
        <v>0</v>
      </c>
      <c r="CI95" s="68">
        <f t="shared" si="114"/>
        <v>0</v>
      </c>
      <c r="CJ95" s="69">
        <f t="shared" si="115"/>
        <v>0</v>
      </c>
      <c r="CM95" s="67">
        <f t="shared" si="120"/>
        <v>305.2</v>
      </c>
      <c r="CN95" s="68">
        <f t="shared" si="123"/>
        <v>237</v>
      </c>
      <c r="CO95" s="68">
        <f t="shared" si="124"/>
        <v>130.5</v>
      </c>
      <c r="CP95" s="68">
        <f t="shared" si="125"/>
        <v>147</v>
      </c>
      <c r="CQ95" s="68">
        <f t="shared" si="126"/>
        <v>64.8</v>
      </c>
      <c r="CR95" s="68">
        <f t="shared" si="127"/>
        <v>37.200000000000003</v>
      </c>
      <c r="CS95" s="69">
        <f t="shared" si="128"/>
        <v>88.6</v>
      </c>
      <c r="CU95" s="511">
        <f>SUM(SUMIF($AZ$8:$BF$8, {"NON";"NEUT"}, AZ95:BF95))/config!$AC$16</f>
        <v>4.2</v>
      </c>
      <c r="CV95" s="512">
        <f t="shared" si="121"/>
        <v>0.874999999999999</v>
      </c>
      <c r="CY95" s="67">
        <f>SUM(C99*$CY$108, C206*$CY$109, C313*$CY$110, C420*$CY$111, C527*$CY$112, C634*$CY$113, C741*$CY$114)/config!$AC$16</f>
        <v>0</v>
      </c>
      <c r="CZ95" s="68">
        <f>SUM(SUM(D99:E99)*$CY$108, SUM(D206:E206)*$CY$109, SUM(D313:E313)*$CY$110, SUM(D420:E420)*$CY$111, SUM(D527:E527)*$CY$112, SUM(D634:E634)*$CY$113, SUM(D741:E741)*$CY$114)/config!$AC$16</f>
        <v>3.8</v>
      </c>
      <c r="DA95" s="68">
        <f>SUM(SUM(F99:G99)*$CY$108, SUM(F206:G206)*$CY$109, SUM(F313:G313)*$CY$110, SUM(F420:G420)*$CY$111, SUM(F527:G527)*$CY$112, SUM(F634:G634)*$CY$113, SUM(F741:G741)*$CY$114)/config!$AC$16</f>
        <v>0.4</v>
      </c>
      <c r="DB95" s="68">
        <f>SUM(H99*$CY$108, H206*$CY$109, H313*$CY$110, H420*$CY$111, H527*$CY$112, H634*$CY$113, H741*$CY$114)/config!$AC$16</f>
        <v>0</v>
      </c>
      <c r="DC95" s="69">
        <f>SUM(SUM(I99:L99)*$CY$108, SUM(I206:L206)*$CY$109, SUM(I313:L313)*$CY$110, SUM(I420:L420)*$CY$111, SUM(I527:L527)*$CY$112, SUM(I634:L634)*$CY$113, SUM(I741:L741)*$CY$114)/config!$AC$16</f>
        <v>0</v>
      </c>
    </row>
    <row r="96" spans="1:107" ht="15" x14ac:dyDescent="0.25">
      <c r="A96" s="440" t="s">
        <v>121</v>
      </c>
      <c r="B96" s="642">
        <v>5</v>
      </c>
      <c r="C96" s="184">
        <v>0</v>
      </c>
      <c r="D96" s="184">
        <v>4</v>
      </c>
      <c r="E96" s="184">
        <v>0</v>
      </c>
      <c r="F96" s="184">
        <v>1</v>
      </c>
      <c r="G96" s="184">
        <v>0</v>
      </c>
      <c r="H96" s="184">
        <v>0</v>
      </c>
      <c r="I96" s="184">
        <v>0</v>
      </c>
      <c r="J96" s="184">
        <v>0</v>
      </c>
      <c r="K96" s="184">
        <v>0</v>
      </c>
      <c r="L96" s="184">
        <v>0</v>
      </c>
      <c r="M96" s="654" t="s">
        <v>24</v>
      </c>
      <c r="N96" s="670" t="s">
        <v>121</v>
      </c>
      <c r="O96" s="642">
        <v>0</v>
      </c>
      <c r="P96" s="184">
        <v>0</v>
      </c>
      <c r="Q96" s="184">
        <v>0</v>
      </c>
      <c r="R96" s="184">
        <v>0</v>
      </c>
      <c r="S96" s="184">
        <v>1</v>
      </c>
      <c r="T96" s="184">
        <v>1</v>
      </c>
      <c r="U96" s="184">
        <v>0</v>
      </c>
      <c r="V96" s="184">
        <v>0</v>
      </c>
      <c r="W96" s="184">
        <v>0</v>
      </c>
      <c r="X96" s="184">
        <v>2</v>
      </c>
      <c r="Y96" s="184">
        <v>1</v>
      </c>
      <c r="Z96" s="184">
        <v>0</v>
      </c>
      <c r="AA96" s="184">
        <v>0</v>
      </c>
      <c r="AB96" s="184">
        <v>0</v>
      </c>
      <c r="AC96" s="185">
        <v>46.7</v>
      </c>
      <c r="AD96" s="185" t="s">
        <v>24</v>
      </c>
      <c r="AE96" s="184">
        <v>1</v>
      </c>
      <c r="AF96" s="185">
        <v>20</v>
      </c>
      <c r="AG96" s="184">
        <v>0</v>
      </c>
      <c r="AH96" s="185">
        <v>0</v>
      </c>
      <c r="AI96" s="184">
        <v>0</v>
      </c>
      <c r="AJ96" s="643">
        <v>0</v>
      </c>
      <c r="AP96" s="401">
        <f t="shared" si="116"/>
        <v>1</v>
      </c>
      <c r="AR96" s="56">
        <f t="shared" si="117"/>
        <v>0.88541666666666563</v>
      </c>
      <c r="AS96" s="67">
        <f>SUM(C100,C207,C314,C421,C528,C635,C742)/config!$AC$13</f>
        <v>0</v>
      </c>
      <c r="AT96" s="68">
        <f>SUM(D100:E100,D207:E207,D314:E314,D421:E421,D528:E528,D635:E635,D742:E742)/config!$AC$13</f>
        <v>3.7142857142857144</v>
      </c>
      <c r="AU96" s="68">
        <f>SUM(F100:G100,F207:G207,F314:G314,F421:G421,F528:G528,F635:G635,F742:G742)/config!$AC$13</f>
        <v>0.14285714285714285</v>
      </c>
      <c r="AV96" s="68">
        <f>SUM(H100,H207,H314,H421,H528,H635,H742)/config!$AC$13</f>
        <v>0</v>
      </c>
      <c r="AW96" s="69">
        <f>SUM(I100:L100,I207:L207,I314:L314,I421:L421,I528:L528,I635:L635,I742:L742)/config!$AC$13</f>
        <v>0</v>
      </c>
      <c r="AY96" s="56">
        <f t="shared" si="118"/>
        <v>0.88541666666666563</v>
      </c>
      <c r="AZ96" s="70">
        <f t="shared" si="85"/>
        <v>4</v>
      </c>
      <c r="BA96" s="71">
        <f t="shared" si="86"/>
        <v>7</v>
      </c>
      <c r="BB96" s="71">
        <f t="shared" si="87"/>
        <v>1</v>
      </c>
      <c r="BC96" s="71">
        <f t="shared" si="88"/>
        <v>2</v>
      </c>
      <c r="BD96" s="71">
        <f t="shared" si="89"/>
        <v>3</v>
      </c>
      <c r="BE96" s="71">
        <f t="shared" si="90"/>
        <v>6</v>
      </c>
      <c r="BF96" s="72">
        <f t="shared" si="91"/>
        <v>4</v>
      </c>
      <c r="BG96" s="45"/>
      <c r="BH96" s="56">
        <f t="shared" si="92"/>
        <v>0.88541666666666563</v>
      </c>
      <c r="BI96" s="67">
        <f t="shared" si="93"/>
        <v>47.7</v>
      </c>
      <c r="BJ96" s="68">
        <f t="shared" si="94"/>
        <v>41.5</v>
      </c>
      <c r="BK96" s="68">
        <f t="shared" si="95"/>
        <v>42</v>
      </c>
      <c r="BL96" s="68">
        <f t="shared" si="96"/>
        <v>40.5</v>
      </c>
      <c r="BM96" s="68">
        <f t="shared" si="97"/>
        <v>40.6</v>
      </c>
      <c r="BN96" s="68">
        <f t="shared" si="98"/>
        <v>41.6</v>
      </c>
      <c r="BO96" s="69">
        <f t="shared" si="99"/>
        <v>44</v>
      </c>
      <c r="BP96" s="63"/>
      <c r="BQ96" s="64">
        <f t="shared" si="100"/>
        <v>0.88541666666666563</v>
      </c>
      <c r="BR96" s="67" t="str">
        <f t="shared" si="101"/>
        <v/>
      </c>
      <c r="BS96" s="68" t="str">
        <f t="shared" si="102"/>
        <v/>
      </c>
      <c r="BT96" s="68" t="str">
        <f t="shared" si="103"/>
        <v/>
      </c>
      <c r="BU96" s="68" t="str">
        <f t="shared" si="104"/>
        <v/>
      </c>
      <c r="BV96" s="68" t="str">
        <f t="shared" si="105"/>
        <v/>
      </c>
      <c r="BW96" s="68" t="str">
        <f t="shared" si="106"/>
        <v/>
      </c>
      <c r="BX96" s="69" t="str">
        <f t="shared" si="107"/>
        <v/>
      </c>
      <c r="BY96" s="65"/>
      <c r="BZ96" s="66">
        <f t="shared" si="119"/>
        <v>42.557142857142857</v>
      </c>
      <c r="CA96" s="414" t="e">
        <f t="shared" si="108"/>
        <v>#N/A</v>
      </c>
      <c r="CB96" s="416">
        <f t="shared" si="122"/>
        <v>60</v>
      </c>
      <c r="CC96" s="65"/>
      <c r="CD96" s="67">
        <f t="shared" si="109"/>
        <v>0</v>
      </c>
      <c r="CE96" s="68">
        <f t="shared" si="110"/>
        <v>0</v>
      </c>
      <c r="CF96" s="68">
        <f t="shared" si="111"/>
        <v>0</v>
      </c>
      <c r="CG96" s="68">
        <f t="shared" si="112"/>
        <v>0</v>
      </c>
      <c r="CH96" s="68">
        <f t="shared" si="113"/>
        <v>0</v>
      </c>
      <c r="CI96" s="68">
        <f t="shared" si="114"/>
        <v>0</v>
      </c>
      <c r="CJ96" s="69">
        <f t="shared" si="115"/>
        <v>0</v>
      </c>
      <c r="CM96" s="67">
        <f t="shared" si="120"/>
        <v>190.8</v>
      </c>
      <c r="CN96" s="68">
        <f t="shared" si="123"/>
        <v>290.5</v>
      </c>
      <c r="CO96" s="68">
        <f t="shared" si="124"/>
        <v>42</v>
      </c>
      <c r="CP96" s="68">
        <f t="shared" si="125"/>
        <v>81</v>
      </c>
      <c r="CQ96" s="68">
        <f t="shared" si="126"/>
        <v>121.80000000000001</v>
      </c>
      <c r="CR96" s="68">
        <f t="shared" si="127"/>
        <v>249.60000000000002</v>
      </c>
      <c r="CS96" s="69">
        <f t="shared" si="128"/>
        <v>176</v>
      </c>
      <c r="CU96" s="511">
        <f>SUM(SUMIF($AZ$8:$BF$8, {"NON";"NEUT"}, AZ96:BF96))/config!$AC$16</f>
        <v>3.6</v>
      </c>
      <c r="CV96" s="512">
        <f t="shared" si="121"/>
        <v>0.88541666666666563</v>
      </c>
      <c r="CY96" s="67">
        <f>SUM(C100*$CY$108, C207*$CY$109, C314*$CY$110, C421*$CY$111, C528*$CY$112, C635*$CY$113, C742*$CY$114)/config!$AC$16</f>
        <v>0</v>
      </c>
      <c r="CZ96" s="68">
        <f>SUM(SUM(D100:E100)*$CY$108, SUM(D207:E207)*$CY$109, SUM(D314:E314)*$CY$110, SUM(D421:E421)*$CY$111, SUM(D528:E528)*$CY$112, SUM(D635:E635)*$CY$113, SUM(D742:E742)*$CY$114)/config!$AC$16</f>
        <v>3.4</v>
      </c>
      <c r="DA96" s="68">
        <f>SUM(SUM(F100:G100)*$CY$108, SUM(F207:G207)*$CY$109, SUM(F314:G314)*$CY$110, SUM(F421:G421)*$CY$111, SUM(F528:G528)*$CY$112, SUM(F635:G635)*$CY$113, SUM(F742:G742)*$CY$114)/config!$AC$16</f>
        <v>0.2</v>
      </c>
      <c r="DB96" s="68">
        <f>SUM(H100*$CY$108, H207*$CY$109, H314*$CY$110, H421*$CY$111, H528*$CY$112, H635*$CY$113, H742*$CY$114)/config!$AC$16</f>
        <v>0</v>
      </c>
      <c r="DC96" s="69">
        <f>SUM(SUM(I100:L100)*$CY$108, SUM(I207:L207)*$CY$109, SUM(I314:L314)*$CY$110, SUM(I421:L421)*$CY$111, SUM(I528:L528)*$CY$112, SUM(I635:L635)*$CY$113, SUM(I742:L742)*$CY$114)/config!$AC$16</f>
        <v>0</v>
      </c>
    </row>
    <row r="97" spans="1:107" ht="15" x14ac:dyDescent="0.25">
      <c r="A97" s="440" t="s">
        <v>122</v>
      </c>
      <c r="B97" s="642">
        <v>4</v>
      </c>
      <c r="C97" s="184">
        <v>0</v>
      </c>
      <c r="D97" s="184">
        <v>4</v>
      </c>
      <c r="E97" s="184">
        <v>0</v>
      </c>
      <c r="F97" s="184">
        <v>0</v>
      </c>
      <c r="G97" s="184">
        <v>0</v>
      </c>
      <c r="H97" s="184">
        <v>0</v>
      </c>
      <c r="I97" s="184">
        <v>0</v>
      </c>
      <c r="J97" s="184">
        <v>0</v>
      </c>
      <c r="K97" s="184">
        <v>0</v>
      </c>
      <c r="L97" s="184">
        <v>0</v>
      </c>
      <c r="M97" s="654" t="s">
        <v>24</v>
      </c>
      <c r="N97" s="670" t="s">
        <v>122</v>
      </c>
      <c r="O97" s="642">
        <v>0</v>
      </c>
      <c r="P97" s="184">
        <v>0</v>
      </c>
      <c r="Q97" s="184">
        <v>0</v>
      </c>
      <c r="R97" s="184">
        <v>0</v>
      </c>
      <c r="S97" s="184">
        <v>0</v>
      </c>
      <c r="T97" s="184">
        <v>1</v>
      </c>
      <c r="U97" s="184">
        <v>1</v>
      </c>
      <c r="V97" s="184">
        <v>1</v>
      </c>
      <c r="W97" s="184">
        <v>1</v>
      </c>
      <c r="X97" s="184">
        <v>0</v>
      </c>
      <c r="Y97" s="184">
        <v>0</v>
      </c>
      <c r="Z97" s="184">
        <v>0</v>
      </c>
      <c r="AA97" s="184">
        <v>0</v>
      </c>
      <c r="AB97" s="184">
        <v>0</v>
      </c>
      <c r="AC97" s="185">
        <v>39.299999999999997</v>
      </c>
      <c r="AD97" s="185" t="s">
        <v>24</v>
      </c>
      <c r="AE97" s="184">
        <v>0</v>
      </c>
      <c r="AF97" s="185">
        <v>0</v>
      </c>
      <c r="AG97" s="184">
        <v>0</v>
      </c>
      <c r="AH97" s="185">
        <v>0</v>
      </c>
      <c r="AI97" s="184">
        <v>0</v>
      </c>
      <c r="AJ97" s="643">
        <v>0</v>
      </c>
      <c r="AP97" s="401">
        <f t="shared" si="116"/>
        <v>2</v>
      </c>
      <c r="AR97" s="56">
        <f t="shared" si="117"/>
        <v>0.89583333333333226</v>
      </c>
      <c r="AS97" s="67">
        <f>SUM(C101,C208,C315,C422,C529,C636,C743)/config!$AC$13</f>
        <v>0.14285714285714285</v>
      </c>
      <c r="AT97" s="68">
        <f>SUM(D101:E101,D208:E208,D315:E315,D422:E422,D529:E529,D636:E636,D743:E743)/config!$AC$13</f>
        <v>2.5714285714285716</v>
      </c>
      <c r="AU97" s="68">
        <f>SUM(F101:G101,F208:G208,F315:G315,F422:G422,F529:G529,F636:G636,F743:G743)/config!$AC$13</f>
        <v>0.2857142857142857</v>
      </c>
      <c r="AV97" s="68">
        <f>SUM(H101,H208,H315,H422,H529,H636,H743)/config!$AC$13</f>
        <v>0</v>
      </c>
      <c r="AW97" s="69">
        <f>SUM(I101:L101,I208:L208,I315:L315,I422:L422,I529:L529,I636:L636,I743:L743)/config!$AC$13</f>
        <v>0</v>
      </c>
      <c r="AY97" s="56">
        <f t="shared" si="118"/>
        <v>0.89583333333333226</v>
      </c>
      <c r="AZ97" s="70">
        <f t="shared" si="85"/>
        <v>0</v>
      </c>
      <c r="BA97" s="71">
        <f t="shared" si="86"/>
        <v>5</v>
      </c>
      <c r="BB97" s="71">
        <f t="shared" si="87"/>
        <v>3</v>
      </c>
      <c r="BC97" s="71">
        <f t="shared" si="88"/>
        <v>3</v>
      </c>
      <c r="BD97" s="71">
        <f t="shared" si="89"/>
        <v>6</v>
      </c>
      <c r="BE97" s="71">
        <f t="shared" si="90"/>
        <v>4</v>
      </c>
      <c r="BF97" s="72">
        <f t="shared" si="91"/>
        <v>0</v>
      </c>
      <c r="BG97" s="45"/>
      <c r="BH97" s="56">
        <f t="shared" si="92"/>
        <v>0.89583333333333226</v>
      </c>
      <c r="BI97" s="67" t="str">
        <f t="shared" si="93"/>
        <v/>
      </c>
      <c r="BJ97" s="68">
        <f t="shared" si="94"/>
        <v>38</v>
      </c>
      <c r="BK97" s="68">
        <f t="shared" si="95"/>
        <v>38.4</v>
      </c>
      <c r="BL97" s="68">
        <f t="shared" si="96"/>
        <v>39.9</v>
      </c>
      <c r="BM97" s="68">
        <f t="shared" si="97"/>
        <v>35.9</v>
      </c>
      <c r="BN97" s="68">
        <f t="shared" si="98"/>
        <v>36.299999999999997</v>
      </c>
      <c r="BO97" s="69" t="str">
        <f t="shared" si="99"/>
        <v/>
      </c>
      <c r="BP97" s="63"/>
      <c r="BQ97" s="64">
        <f t="shared" si="100"/>
        <v>0.89583333333333226</v>
      </c>
      <c r="BR97" s="67" t="str">
        <f t="shared" si="101"/>
        <v/>
      </c>
      <c r="BS97" s="68" t="str">
        <f t="shared" si="102"/>
        <v/>
      </c>
      <c r="BT97" s="68" t="str">
        <f t="shared" si="103"/>
        <v/>
      </c>
      <c r="BU97" s="68" t="str">
        <f t="shared" si="104"/>
        <v/>
      </c>
      <c r="BV97" s="68" t="str">
        <f t="shared" si="105"/>
        <v/>
      </c>
      <c r="BW97" s="68" t="str">
        <f t="shared" si="106"/>
        <v/>
      </c>
      <c r="BX97" s="69" t="str">
        <f t="shared" si="107"/>
        <v/>
      </c>
      <c r="BY97" s="65"/>
      <c r="BZ97" s="66">
        <f t="shared" si="119"/>
        <v>37.700000000000003</v>
      </c>
      <c r="CA97" s="414" t="e">
        <f t="shared" si="108"/>
        <v>#N/A</v>
      </c>
      <c r="CB97" s="416">
        <f t="shared" si="122"/>
        <v>60</v>
      </c>
      <c r="CC97" s="65"/>
      <c r="CD97" s="67">
        <f t="shared" si="109"/>
        <v>0</v>
      </c>
      <c r="CE97" s="68">
        <f t="shared" si="110"/>
        <v>0</v>
      </c>
      <c r="CF97" s="68">
        <f t="shared" si="111"/>
        <v>0</v>
      </c>
      <c r="CG97" s="68">
        <f t="shared" si="112"/>
        <v>0</v>
      </c>
      <c r="CH97" s="68">
        <f t="shared" si="113"/>
        <v>0</v>
      </c>
      <c r="CI97" s="68">
        <f t="shared" si="114"/>
        <v>0</v>
      </c>
      <c r="CJ97" s="69">
        <f t="shared" si="115"/>
        <v>0</v>
      </c>
      <c r="CM97" s="67" t="str">
        <f t="shared" si="120"/>
        <v/>
      </c>
      <c r="CN97" s="68">
        <f t="shared" si="123"/>
        <v>190</v>
      </c>
      <c r="CO97" s="68">
        <f t="shared" si="124"/>
        <v>115.19999999999999</v>
      </c>
      <c r="CP97" s="68">
        <f t="shared" si="125"/>
        <v>119.69999999999999</v>
      </c>
      <c r="CQ97" s="68">
        <f t="shared" si="126"/>
        <v>215.39999999999998</v>
      </c>
      <c r="CR97" s="68">
        <f t="shared" si="127"/>
        <v>145.19999999999999</v>
      </c>
      <c r="CS97" s="69" t="str">
        <f t="shared" si="128"/>
        <v/>
      </c>
      <c r="CU97" s="511">
        <f>SUM(SUMIF($AZ$8:$BF$8, {"NON";"NEUT"}, AZ97:BF97))/config!$AC$16</f>
        <v>2.2000000000000002</v>
      </c>
      <c r="CV97" s="512">
        <f t="shared" si="121"/>
        <v>0.89583333333333226</v>
      </c>
      <c r="CY97" s="67">
        <f>SUM(C101*$CY$108, C208*$CY$109, C315*$CY$110, C422*$CY$111, C529*$CY$112, C636*$CY$113, C743*$CY$114)/config!$AC$16</f>
        <v>0</v>
      </c>
      <c r="CZ97" s="68">
        <f>SUM(SUM(D101:E101)*$CY$108, SUM(D208:E208)*$CY$109, SUM(D315:E315)*$CY$110, SUM(D422:E422)*$CY$111, SUM(D529:E529)*$CY$112, SUM(D636:E636)*$CY$113, SUM(D743:E743)*$CY$114)/config!$AC$16</f>
        <v>2</v>
      </c>
      <c r="DA97" s="68">
        <f>SUM(SUM(F101:G101)*$CY$108, SUM(F208:G208)*$CY$109, SUM(F315:G315)*$CY$110, SUM(F422:G422)*$CY$111, SUM(F529:G529)*$CY$112, SUM(F636:G636)*$CY$113, SUM(F743:G743)*$CY$114)/config!$AC$16</f>
        <v>0.2</v>
      </c>
      <c r="DB97" s="68">
        <f>SUM(H101*$CY$108, H208*$CY$109, H315*$CY$110, H422*$CY$111, H529*$CY$112, H636*$CY$113, H743*$CY$114)/config!$AC$16</f>
        <v>0</v>
      </c>
      <c r="DC97" s="69">
        <f>SUM(SUM(I101:L101)*$CY$108, SUM(I208:L208)*$CY$109, SUM(I315:L315)*$CY$110, SUM(I422:L422)*$CY$111, SUM(I529:L529)*$CY$112, SUM(I636:L636)*$CY$113, SUM(I743:L743)*$CY$114)/config!$AC$16</f>
        <v>0</v>
      </c>
    </row>
    <row r="98" spans="1:107" ht="15" x14ac:dyDescent="0.25">
      <c r="A98" s="440" t="s">
        <v>123</v>
      </c>
      <c r="B98" s="642">
        <v>6</v>
      </c>
      <c r="C98" s="184">
        <v>0</v>
      </c>
      <c r="D98" s="184">
        <v>6</v>
      </c>
      <c r="E98" s="184">
        <v>0</v>
      </c>
      <c r="F98" s="184">
        <v>0</v>
      </c>
      <c r="G98" s="184">
        <v>0</v>
      </c>
      <c r="H98" s="184">
        <v>0</v>
      </c>
      <c r="I98" s="184">
        <v>0</v>
      </c>
      <c r="J98" s="184">
        <v>0</v>
      </c>
      <c r="K98" s="184">
        <v>0</v>
      </c>
      <c r="L98" s="184">
        <v>0</v>
      </c>
      <c r="M98" s="654" t="s">
        <v>24</v>
      </c>
      <c r="N98" s="670" t="s">
        <v>123</v>
      </c>
      <c r="O98" s="642">
        <v>0</v>
      </c>
      <c r="P98" s="184">
        <v>0</v>
      </c>
      <c r="Q98" s="184">
        <v>0</v>
      </c>
      <c r="R98" s="184">
        <v>0</v>
      </c>
      <c r="S98" s="184">
        <v>0</v>
      </c>
      <c r="T98" s="184">
        <v>0</v>
      </c>
      <c r="U98" s="184">
        <v>1</v>
      </c>
      <c r="V98" s="184">
        <v>1</v>
      </c>
      <c r="W98" s="184">
        <v>4</v>
      </c>
      <c r="X98" s="184">
        <v>0</v>
      </c>
      <c r="Y98" s="184">
        <v>0</v>
      </c>
      <c r="Z98" s="184">
        <v>0</v>
      </c>
      <c r="AA98" s="184">
        <v>0</v>
      </c>
      <c r="AB98" s="184">
        <v>0</v>
      </c>
      <c r="AC98" s="185">
        <v>45.1</v>
      </c>
      <c r="AD98" s="185" t="s">
        <v>24</v>
      </c>
      <c r="AE98" s="184">
        <v>0</v>
      </c>
      <c r="AF98" s="185">
        <v>0</v>
      </c>
      <c r="AG98" s="184">
        <v>0</v>
      </c>
      <c r="AH98" s="185">
        <v>0</v>
      </c>
      <c r="AI98" s="184">
        <v>0</v>
      </c>
      <c r="AJ98" s="643">
        <v>0</v>
      </c>
      <c r="AP98" s="401">
        <f t="shared" si="116"/>
        <v>1</v>
      </c>
      <c r="AR98" s="56">
        <f t="shared" si="117"/>
        <v>0.90624999999999889</v>
      </c>
      <c r="AS98" s="67">
        <f>SUM(C102,C209,C316,C423,C530,C637,C744)/config!$AC$13</f>
        <v>0</v>
      </c>
      <c r="AT98" s="68">
        <f>SUM(D102:E102,D209:E209,D316:E316,D423:E423,D530:E530,D637:E637,D744:E744)/config!$AC$13</f>
        <v>2</v>
      </c>
      <c r="AU98" s="68">
        <f>SUM(F102:G102,F209:G209,F316:G316,F423:G423,F530:G530,F637:G637,F744:G744)/config!$AC$13</f>
        <v>0.14285714285714285</v>
      </c>
      <c r="AV98" s="68">
        <f>SUM(H102,H209,H316,H423,H530,H637,H744)/config!$AC$13</f>
        <v>0</v>
      </c>
      <c r="AW98" s="69">
        <f>SUM(I102:L102,I209:L209,I316:L316,I423:L423,I530:L530,I637:L637,I744:L744)/config!$AC$13</f>
        <v>0</v>
      </c>
      <c r="AY98" s="56">
        <f t="shared" si="118"/>
        <v>0.90624999999999889</v>
      </c>
      <c r="AZ98" s="70">
        <f t="shared" si="85"/>
        <v>1</v>
      </c>
      <c r="BA98" s="71">
        <f t="shared" si="86"/>
        <v>1</v>
      </c>
      <c r="BB98" s="71">
        <f t="shared" si="87"/>
        <v>4</v>
      </c>
      <c r="BC98" s="71">
        <f t="shared" si="88"/>
        <v>4</v>
      </c>
      <c r="BD98" s="71">
        <f t="shared" si="89"/>
        <v>1</v>
      </c>
      <c r="BE98" s="71">
        <f t="shared" si="90"/>
        <v>1</v>
      </c>
      <c r="BF98" s="72">
        <f t="shared" si="91"/>
        <v>3</v>
      </c>
      <c r="BG98" s="45"/>
      <c r="BH98" s="56">
        <f t="shared" si="92"/>
        <v>0.90624999999999889</v>
      </c>
      <c r="BI98" s="67">
        <f t="shared" si="93"/>
        <v>39.5</v>
      </c>
      <c r="BJ98" s="68">
        <f t="shared" si="94"/>
        <v>46.3</v>
      </c>
      <c r="BK98" s="68">
        <f t="shared" si="95"/>
        <v>38.9</v>
      </c>
      <c r="BL98" s="68">
        <f t="shared" si="96"/>
        <v>40.200000000000003</v>
      </c>
      <c r="BM98" s="68">
        <f t="shared" si="97"/>
        <v>49.8</v>
      </c>
      <c r="BN98" s="68">
        <f t="shared" si="98"/>
        <v>61.4</v>
      </c>
      <c r="BO98" s="69">
        <f t="shared" si="99"/>
        <v>37.4</v>
      </c>
      <c r="BP98" s="63"/>
      <c r="BQ98" s="64">
        <f t="shared" si="100"/>
        <v>0.90624999999999889</v>
      </c>
      <c r="BR98" s="67" t="str">
        <f t="shared" si="101"/>
        <v/>
      </c>
      <c r="BS98" s="68" t="str">
        <f t="shared" si="102"/>
        <v/>
      </c>
      <c r="BT98" s="68" t="str">
        <f t="shared" si="103"/>
        <v/>
      </c>
      <c r="BU98" s="68" t="str">
        <f t="shared" si="104"/>
        <v/>
      </c>
      <c r="BV98" s="68" t="str">
        <f t="shared" si="105"/>
        <v/>
      </c>
      <c r="BW98" s="68" t="str">
        <f t="shared" si="106"/>
        <v/>
      </c>
      <c r="BX98" s="69" t="str">
        <f t="shared" si="107"/>
        <v/>
      </c>
      <c r="BY98" s="65"/>
      <c r="BZ98" s="66">
        <f t="shared" si="119"/>
        <v>44.785714285714278</v>
      </c>
      <c r="CA98" s="414" t="e">
        <f t="shared" si="108"/>
        <v>#N/A</v>
      </c>
      <c r="CB98" s="416">
        <f t="shared" si="122"/>
        <v>60</v>
      </c>
      <c r="CC98" s="65"/>
      <c r="CD98" s="67">
        <f t="shared" si="109"/>
        <v>0</v>
      </c>
      <c r="CE98" s="68">
        <f t="shared" si="110"/>
        <v>0</v>
      </c>
      <c r="CF98" s="68">
        <f t="shared" si="111"/>
        <v>0</v>
      </c>
      <c r="CG98" s="68">
        <f t="shared" si="112"/>
        <v>0</v>
      </c>
      <c r="CH98" s="68">
        <f t="shared" si="113"/>
        <v>0</v>
      </c>
      <c r="CI98" s="68">
        <f t="shared" si="114"/>
        <v>1</v>
      </c>
      <c r="CJ98" s="69">
        <f t="shared" si="115"/>
        <v>0</v>
      </c>
      <c r="CM98" s="67">
        <f t="shared" si="120"/>
        <v>39.5</v>
      </c>
      <c r="CN98" s="68">
        <f t="shared" si="123"/>
        <v>46.3</v>
      </c>
      <c r="CO98" s="68">
        <f t="shared" si="124"/>
        <v>155.6</v>
      </c>
      <c r="CP98" s="68">
        <f t="shared" si="125"/>
        <v>160.80000000000001</v>
      </c>
      <c r="CQ98" s="68">
        <f t="shared" si="126"/>
        <v>49.8</v>
      </c>
      <c r="CR98" s="68">
        <f t="shared" si="127"/>
        <v>61.4</v>
      </c>
      <c r="CS98" s="69">
        <f t="shared" si="128"/>
        <v>112.19999999999999</v>
      </c>
      <c r="CU98" s="511">
        <f>SUM(SUMIF($AZ$8:$BF$8, {"NON";"NEUT"}, AZ98:BF98))/config!$AC$16</f>
        <v>2.6</v>
      </c>
      <c r="CV98" s="512">
        <f t="shared" si="121"/>
        <v>0.90624999999999889</v>
      </c>
      <c r="CY98" s="67">
        <f>SUM(C102*$CY$108, C209*$CY$109, C316*$CY$110, C423*$CY$111, C530*$CY$112, C637*$CY$113, C744*$CY$114)/config!$AC$16</f>
        <v>0</v>
      </c>
      <c r="CZ98" s="68">
        <f>SUM(SUM(D102:E102)*$CY$108, SUM(D209:E209)*$CY$109, SUM(D316:E316)*$CY$110, SUM(D423:E423)*$CY$111, SUM(D530:E530)*$CY$112, SUM(D637:E637)*$CY$113, SUM(D744:E744)*$CY$114)/config!$AC$16</f>
        <v>2.6</v>
      </c>
      <c r="DA98" s="68">
        <f>SUM(SUM(F102:G102)*$CY$108, SUM(F209:G209)*$CY$109, SUM(F316:G316)*$CY$110, SUM(F423:G423)*$CY$111, SUM(F530:G530)*$CY$112, SUM(F637:G637)*$CY$113, SUM(F744:G744)*$CY$114)/config!$AC$16</f>
        <v>0</v>
      </c>
      <c r="DB98" s="68">
        <f>SUM(H102*$CY$108, H209*$CY$109, H316*$CY$110, H423*$CY$111, H530*$CY$112, H637*$CY$113, H744*$CY$114)/config!$AC$16</f>
        <v>0</v>
      </c>
      <c r="DC98" s="69">
        <f>SUM(SUM(I102:L102)*$CY$108, SUM(I209:L209)*$CY$109, SUM(I316:L316)*$CY$110, SUM(I423:L423)*$CY$111, SUM(I530:L530)*$CY$112, SUM(I637:L637)*$CY$113, SUM(I744:L744)*$CY$114)/config!$AC$16</f>
        <v>0</v>
      </c>
    </row>
    <row r="99" spans="1:107" ht="15" x14ac:dyDescent="0.25">
      <c r="A99" s="440" t="s">
        <v>74</v>
      </c>
      <c r="B99" s="642">
        <v>7</v>
      </c>
      <c r="C99" s="184">
        <v>0</v>
      </c>
      <c r="D99" s="184">
        <v>6</v>
      </c>
      <c r="E99" s="184">
        <v>0</v>
      </c>
      <c r="F99" s="184">
        <v>1</v>
      </c>
      <c r="G99" s="184">
        <v>0</v>
      </c>
      <c r="H99" s="184">
        <v>0</v>
      </c>
      <c r="I99" s="184">
        <v>0</v>
      </c>
      <c r="J99" s="184">
        <v>0</v>
      </c>
      <c r="K99" s="184">
        <v>0</v>
      </c>
      <c r="L99" s="184">
        <v>0</v>
      </c>
      <c r="M99" s="654" t="s">
        <v>24</v>
      </c>
      <c r="N99" s="670" t="s">
        <v>74</v>
      </c>
      <c r="O99" s="642">
        <v>0</v>
      </c>
      <c r="P99" s="184">
        <v>0</v>
      </c>
      <c r="Q99" s="184">
        <v>0</v>
      </c>
      <c r="R99" s="184">
        <v>0</v>
      </c>
      <c r="S99" s="184">
        <v>0</v>
      </c>
      <c r="T99" s="184">
        <v>0</v>
      </c>
      <c r="U99" s="184">
        <v>2</v>
      </c>
      <c r="V99" s="184">
        <v>2</v>
      </c>
      <c r="W99" s="184">
        <v>2</v>
      </c>
      <c r="X99" s="184">
        <v>1</v>
      </c>
      <c r="Y99" s="184">
        <v>0</v>
      </c>
      <c r="Z99" s="184">
        <v>0</v>
      </c>
      <c r="AA99" s="184">
        <v>0</v>
      </c>
      <c r="AB99" s="184">
        <v>0</v>
      </c>
      <c r="AC99" s="185">
        <v>43.6</v>
      </c>
      <c r="AD99" s="185" t="s">
        <v>24</v>
      </c>
      <c r="AE99" s="184">
        <v>0</v>
      </c>
      <c r="AF99" s="185">
        <v>0</v>
      </c>
      <c r="AG99" s="184">
        <v>0</v>
      </c>
      <c r="AH99" s="185">
        <v>0</v>
      </c>
      <c r="AI99" s="184">
        <v>0</v>
      </c>
      <c r="AJ99" s="643">
        <v>0</v>
      </c>
      <c r="AP99" s="401">
        <f t="shared" si="116"/>
        <v>0</v>
      </c>
      <c r="AR99" s="56">
        <f t="shared" si="117"/>
        <v>0.91666666666666552</v>
      </c>
      <c r="AS99" s="67">
        <f>SUM(C103,C210,C317,C424,C531,C638,C745)/config!$AC$13</f>
        <v>0</v>
      </c>
      <c r="AT99" s="68">
        <f>SUM(D103:E103,D210:E210,D317:E317,D424:E424,D531:E531,D638:E638,D745:E745)/config!$AC$13</f>
        <v>1.8571428571428572</v>
      </c>
      <c r="AU99" s="68">
        <f>SUM(F103:G103,F210:G210,F317:G317,F424:G424,F531:G531,F638:G638,F745:G745)/config!$AC$13</f>
        <v>0</v>
      </c>
      <c r="AV99" s="68">
        <f>SUM(H103,H210,H317,H424,H531,H638,H745)/config!$AC$13</f>
        <v>0</v>
      </c>
      <c r="AW99" s="69">
        <f>SUM(I103:L103,I210:L210,I317:L317,I424:L424,I531:L531,I638:L638,I745:L745)/config!$AC$13</f>
        <v>0</v>
      </c>
      <c r="AY99" s="56">
        <f t="shared" si="118"/>
        <v>0.91666666666666552</v>
      </c>
      <c r="AZ99" s="70">
        <f t="shared" si="85"/>
        <v>0</v>
      </c>
      <c r="BA99" s="71">
        <f t="shared" si="86"/>
        <v>4</v>
      </c>
      <c r="BB99" s="71">
        <f t="shared" si="87"/>
        <v>2</v>
      </c>
      <c r="BC99" s="71">
        <f t="shared" si="88"/>
        <v>2</v>
      </c>
      <c r="BD99" s="71">
        <f t="shared" si="89"/>
        <v>3</v>
      </c>
      <c r="BE99" s="71">
        <f t="shared" si="90"/>
        <v>0</v>
      </c>
      <c r="BF99" s="72">
        <f t="shared" si="91"/>
        <v>2</v>
      </c>
      <c r="BG99" s="45"/>
      <c r="BH99" s="56">
        <f t="shared" si="92"/>
        <v>0.91666666666666552</v>
      </c>
      <c r="BI99" s="67" t="str">
        <f t="shared" si="93"/>
        <v/>
      </c>
      <c r="BJ99" s="68">
        <f t="shared" si="94"/>
        <v>42.2</v>
      </c>
      <c r="BK99" s="68">
        <f t="shared" si="95"/>
        <v>38.799999999999997</v>
      </c>
      <c r="BL99" s="68">
        <f t="shared" si="96"/>
        <v>43.6</v>
      </c>
      <c r="BM99" s="68">
        <f t="shared" si="97"/>
        <v>40</v>
      </c>
      <c r="BN99" s="68" t="str">
        <f t="shared" si="98"/>
        <v/>
      </c>
      <c r="BO99" s="69">
        <f t="shared" si="99"/>
        <v>39.5</v>
      </c>
      <c r="BP99" s="63"/>
      <c r="BQ99" s="64">
        <f t="shared" si="100"/>
        <v>0.91666666666666552</v>
      </c>
      <c r="BR99" s="67" t="str">
        <f t="shared" si="101"/>
        <v/>
      </c>
      <c r="BS99" s="68" t="str">
        <f t="shared" si="102"/>
        <v/>
      </c>
      <c r="BT99" s="68" t="str">
        <f t="shared" si="103"/>
        <v/>
      </c>
      <c r="BU99" s="68" t="str">
        <f t="shared" si="104"/>
        <v/>
      </c>
      <c r="BV99" s="68" t="str">
        <f t="shared" si="105"/>
        <v/>
      </c>
      <c r="BW99" s="68" t="str">
        <f t="shared" si="106"/>
        <v/>
      </c>
      <c r="BX99" s="69" t="str">
        <f t="shared" si="107"/>
        <v/>
      </c>
      <c r="BY99" s="65"/>
      <c r="BZ99" s="66">
        <f t="shared" si="119"/>
        <v>40.82</v>
      </c>
      <c r="CA99" s="414" t="e">
        <f t="shared" si="108"/>
        <v>#N/A</v>
      </c>
      <c r="CB99" s="416">
        <f t="shared" si="122"/>
        <v>60</v>
      </c>
      <c r="CC99" s="65"/>
      <c r="CD99" s="67">
        <f t="shared" si="109"/>
        <v>0</v>
      </c>
      <c r="CE99" s="68">
        <f t="shared" si="110"/>
        <v>0</v>
      </c>
      <c r="CF99" s="68">
        <f t="shared" si="111"/>
        <v>0</v>
      </c>
      <c r="CG99" s="68">
        <f t="shared" si="112"/>
        <v>0</v>
      </c>
      <c r="CH99" s="68">
        <f t="shared" si="113"/>
        <v>0</v>
      </c>
      <c r="CI99" s="68">
        <f t="shared" si="114"/>
        <v>0</v>
      </c>
      <c r="CJ99" s="69">
        <f t="shared" si="115"/>
        <v>0</v>
      </c>
      <c r="CM99" s="67" t="str">
        <f t="shared" si="120"/>
        <v/>
      </c>
      <c r="CN99" s="68">
        <f t="shared" si="123"/>
        <v>168.8</v>
      </c>
      <c r="CO99" s="68">
        <f t="shared" si="124"/>
        <v>77.599999999999994</v>
      </c>
      <c r="CP99" s="68">
        <f t="shared" si="125"/>
        <v>87.2</v>
      </c>
      <c r="CQ99" s="68">
        <f t="shared" si="126"/>
        <v>120</v>
      </c>
      <c r="CR99" s="68" t="str">
        <f t="shared" si="127"/>
        <v/>
      </c>
      <c r="CS99" s="69">
        <f t="shared" si="128"/>
        <v>79</v>
      </c>
      <c r="CU99" s="511">
        <f>SUM(SUMIF($AZ$8:$BF$8, {"NON";"NEUT"}, AZ99:BF99))/config!$AC$16</f>
        <v>2</v>
      </c>
      <c r="CV99" s="512">
        <f t="shared" si="121"/>
        <v>0.91666666666666552</v>
      </c>
      <c r="CY99" s="67">
        <f>SUM(C103*$CY$108, C210*$CY$109, C317*$CY$110, C424*$CY$111, C531*$CY$112, C638*$CY$113, C745*$CY$114)/config!$AC$16</f>
        <v>0</v>
      </c>
      <c r="CZ99" s="68">
        <f>SUM(SUM(D103:E103)*$CY$108, SUM(D210:E210)*$CY$109, SUM(D317:E317)*$CY$110, SUM(D424:E424)*$CY$111, SUM(D531:E531)*$CY$112, SUM(D638:E638)*$CY$113, SUM(D745:E745)*$CY$114)/config!$AC$16</f>
        <v>2</v>
      </c>
      <c r="DA99" s="68">
        <f>SUM(SUM(F103:G103)*$CY$108, SUM(F210:G210)*$CY$109, SUM(F317:G317)*$CY$110, SUM(F424:G424)*$CY$111, SUM(F531:G531)*$CY$112, SUM(F638:G638)*$CY$113, SUM(F745:G745)*$CY$114)/config!$AC$16</f>
        <v>0</v>
      </c>
      <c r="DB99" s="68">
        <f>SUM(H103*$CY$108, H210*$CY$109, H317*$CY$110, H424*$CY$111, H531*$CY$112, H638*$CY$113, H745*$CY$114)/config!$AC$16</f>
        <v>0</v>
      </c>
      <c r="DC99" s="69">
        <f>SUM(SUM(I103:L103)*$CY$108, SUM(I210:L210)*$CY$109, SUM(I317:L317)*$CY$110, SUM(I424:L424)*$CY$111, SUM(I531:L531)*$CY$112, SUM(I638:L638)*$CY$113, SUM(I745:L745)*$CY$114)/config!$AC$16</f>
        <v>0</v>
      </c>
    </row>
    <row r="100" spans="1:107" ht="15" x14ac:dyDescent="0.25">
      <c r="A100" s="440" t="s">
        <v>124</v>
      </c>
      <c r="B100" s="642">
        <v>4</v>
      </c>
      <c r="C100" s="184">
        <v>0</v>
      </c>
      <c r="D100" s="184">
        <v>4</v>
      </c>
      <c r="E100" s="184">
        <v>0</v>
      </c>
      <c r="F100" s="184">
        <v>0</v>
      </c>
      <c r="G100" s="184">
        <v>0</v>
      </c>
      <c r="H100" s="184">
        <v>0</v>
      </c>
      <c r="I100" s="184">
        <v>0</v>
      </c>
      <c r="J100" s="184">
        <v>0</v>
      </c>
      <c r="K100" s="184">
        <v>0</v>
      </c>
      <c r="L100" s="184">
        <v>0</v>
      </c>
      <c r="M100" s="654" t="s">
        <v>24</v>
      </c>
      <c r="N100" s="670" t="s">
        <v>124</v>
      </c>
      <c r="O100" s="642">
        <v>0</v>
      </c>
      <c r="P100" s="184">
        <v>0</v>
      </c>
      <c r="Q100" s="184">
        <v>0</v>
      </c>
      <c r="R100" s="184">
        <v>0</v>
      </c>
      <c r="S100" s="184">
        <v>0</v>
      </c>
      <c r="T100" s="184">
        <v>0</v>
      </c>
      <c r="U100" s="184">
        <v>0</v>
      </c>
      <c r="V100" s="184">
        <v>2</v>
      </c>
      <c r="W100" s="184">
        <v>0</v>
      </c>
      <c r="X100" s="184">
        <v>2</v>
      </c>
      <c r="Y100" s="184">
        <v>0</v>
      </c>
      <c r="Z100" s="184">
        <v>0</v>
      </c>
      <c r="AA100" s="184">
        <v>0</v>
      </c>
      <c r="AB100" s="184">
        <v>0</v>
      </c>
      <c r="AC100" s="185">
        <v>47.7</v>
      </c>
      <c r="AD100" s="185" t="s">
        <v>24</v>
      </c>
      <c r="AE100" s="184">
        <v>0</v>
      </c>
      <c r="AF100" s="185">
        <v>0</v>
      </c>
      <c r="AG100" s="184">
        <v>0</v>
      </c>
      <c r="AH100" s="185">
        <v>0</v>
      </c>
      <c r="AI100" s="184">
        <v>0</v>
      </c>
      <c r="AJ100" s="643">
        <v>0</v>
      </c>
      <c r="AP100" s="401">
        <f t="shared" si="116"/>
        <v>0</v>
      </c>
      <c r="AR100" s="56">
        <f t="shared" si="117"/>
        <v>0.92708333333333215</v>
      </c>
      <c r="AS100" s="67">
        <f>SUM(C104,C211,C318,C425,C532,C639,C746)/config!$AC$13</f>
        <v>0.14285714285714285</v>
      </c>
      <c r="AT100" s="68">
        <f>SUM(D104:E104,D211:E211,D318:E318,D425:E425,D532:E532,D639:E639,D746:E746)/config!$AC$13</f>
        <v>2.4285714285714284</v>
      </c>
      <c r="AU100" s="68">
        <f>SUM(F104:G104,F211:G211,F318:G318,F425:G425,F532:G532,F639:G639,F746:G746)/config!$AC$13</f>
        <v>0</v>
      </c>
      <c r="AV100" s="68">
        <f>SUM(H104,H211,H318,H425,H532,H639,H746)/config!$AC$13</f>
        <v>0</v>
      </c>
      <c r="AW100" s="69">
        <f>SUM(I104:L104,I211:L211,I318:L318,I425:L425,I532:L532,I639:L639,I746:L746)/config!$AC$13</f>
        <v>0</v>
      </c>
      <c r="AY100" s="56">
        <f t="shared" si="118"/>
        <v>0.92708333333333215</v>
      </c>
      <c r="AZ100" s="70">
        <f t="shared" si="85"/>
        <v>3</v>
      </c>
      <c r="BA100" s="71">
        <f t="shared" si="86"/>
        <v>1</v>
      </c>
      <c r="BB100" s="71">
        <f t="shared" si="87"/>
        <v>4</v>
      </c>
      <c r="BC100" s="71">
        <f t="shared" si="88"/>
        <v>2</v>
      </c>
      <c r="BD100" s="71">
        <f t="shared" si="89"/>
        <v>4</v>
      </c>
      <c r="BE100" s="71">
        <f t="shared" si="90"/>
        <v>3</v>
      </c>
      <c r="BF100" s="72">
        <f t="shared" si="91"/>
        <v>1</v>
      </c>
      <c r="BG100" s="45"/>
      <c r="BH100" s="56">
        <f t="shared" si="92"/>
        <v>0.92708333333333215</v>
      </c>
      <c r="BI100" s="67">
        <f t="shared" si="93"/>
        <v>55.4</v>
      </c>
      <c r="BJ100" s="68">
        <f t="shared" si="94"/>
        <v>50</v>
      </c>
      <c r="BK100" s="68">
        <f t="shared" si="95"/>
        <v>43.8</v>
      </c>
      <c r="BL100" s="68">
        <f t="shared" si="96"/>
        <v>41.9</v>
      </c>
      <c r="BM100" s="68">
        <f t="shared" si="97"/>
        <v>27.6</v>
      </c>
      <c r="BN100" s="68">
        <f t="shared" si="98"/>
        <v>39.9</v>
      </c>
      <c r="BO100" s="69">
        <f t="shared" si="99"/>
        <v>36.4</v>
      </c>
      <c r="BP100" s="63"/>
      <c r="BQ100" s="64">
        <f t="shared" si="100"/>
        <v>0.92708333333333215</v>
      </c>
      <c r="BR100" s="67" t="str">
        <f t="shared" si="101"/>
        <v/>
      </c>
      <c r="BS100" s="68" t="str">
        <f t="shared" si="102"/>
        <v/>
      </c>
      <c r="BT100" s="68" t="str">
        <f t="shared" si="103"/>
        <v/>
      </c>
      <c r="BU100" s="68" t="str">
        <f t="shared" si="104"/>
        <v/>
      </c>
      <c r="BV100" s="68" t="str">
        <f t="shared" si="105"/>
        <v/>
      </c>
      <c r="BW100" s="68" t="str">
        <f t="shared" si="106"/>
        <v/>
      </c>
      <c r="BX100" s="69" t="str">
        <f t="shared" si="107"/>
        <v/>
      </c>
      <c r="BY100" s="65"/>
      <c r="BZ100" s="66">
        <f t="shared" si="119"/>
        <v>42.142857142857132</v>
      </c>
      <c r="CA100" s="414" t="e">
        <f t="shared" si="108"/>
        <v>#N/A</v>
      </c>
      <c r="CB100" s="416">
        <f t="shared" si="122"/>
        <v>60</v>
      </c>
      <c r="CC100" s="65"/>
      <c r="CD100" s="67">
        <f t="shared" si="109"/>
        <v>1</v>
      </c>
      <c r="CE100" s="68">
        <f t="shared" si="110"/>
        <v>0</v>
      </c>
      <c r="CF100" s="68">
        <f t="shared" si="111"/>
        <v>0</v>
      </c>
      <c r="CG100" s="68">
        <f t="shared" si="112"/>
        <v>0</v>
      </c>
      <c r="CH100" s="68">
        <f t="shared" si="113"/>
        <v>0</v>
      </c>
      <c r="CI100" s="68">
        <f t="shared" si="114"/>
        <v>0</v>
      </c>
      <c r="CJ100" s="69">
        <f t="shared" si="115"/>
        <v>0</v>
      </c>
      <c r="CM100" s="67">
        <f t="shared" si="120"/>
        <v>166.2</v>
      </c>
      <c r="CN100" s="68">
        <f t="shared" si="123"/>
        <v>50</v>
      </c>
      <c r="CO100" s="68">
        <f t="shared" si="124"/>
        <v>175.2</v>
      </c>
      <c r="CP100" s="68">
        <f t="shared" si="125"/>
        <v>83.8</v>
      </c>
      <c r="CQ100" s="68">
        <f t="shared" si="126"/>
        <v>110.4</v>
      </c>
      <c r="CR100" s="68">
        <f t="shared" si="127"/>
        <v>119.69999999999999</v>
      </c>
      <c r="CS100" s="69">
        <f t="shared" si="128"/>
        <v>36.4</v>
      </c>
      <c r="CU100" s="511">
        <f>SUM(SUMIF($AZ$8:$BF$8, {"NON";"NEUT"}, AZ100:BF100))/config!$AC$16</f>
        <v>2.2000000000000002</v>
      </c>
      <c r="CV100" s="512">
        <f t="shared" si="121"/>
        <v>0.92708333333333215</v>
      </c>
      <c r="CY100" s="67">
        <f>SUM(C104*$CY$108, C211*$CY$109, C318*$CY$110, C425*$CY$111, C532*$CY$112, C639*$CY$113, C746*$CY$114)/config!$AC$16</f>
        <v>0</v>
      </c>
      <c r="CZ100" s="68">
        <f>SUM(SUM(D104:E104)*$CY$108, SUM(D211:E211)*$CY$109, SUM(D318:E318)*$CY$110, SUM(D425:E425)*$CY$111, SUM(D532:E532)*$CY$112, SUM(D639:E639)*$CY$113, SUM(D746:E746)*$CY$114)/config!$AC$16</f>
        <v>2.2000000000000002</v>
      </c>
      <c r="DA100" s="68">
        <f>SUM(SUM(F104:G104)*$CY$108, SUM(F211:G211)*$CY$109, SUM(F318:G318)*$CY$110, SUM(F425:G425)*$CY$111, SUM(F532:G532)*$CY$112, SUM(F639:G639)*$CY$113, SUM(F746:G746)*$CY$114)/config!$AC$16</f>
        <v>0</v>
      </c>
      <c r="DB100" s="68">
        <f>SUM(H104*$CY$108, H211*$CY$109, H318*$CY$110, H425*$CY$111, H532*$CY$112, H639*$CY$113, H746*$CY$114)/config!$AC$16</f>
        <v>0</v>
      </c>
      <c r="DC100" s="69">
        <f>SUM(SUM(I104:L104)*$CY$108, SUM(I211:L211)*$CY$109, SUM(I318:L318)*$CY$110, SUM(I425:L425)*$CY$111, SUM(I532:L532)*$CY$112, SUM(I639:L639)*$CY$113, SUM(I746:L746)*$CY$114)/config!$AC$16</f>
        <v>0</v>
      </c>
    </row>
    <row r="101" spans="1:107" ht="15" x14ac:dyDescent="0.25">
      <c r="A101" s="440" t="s">
        <v>125</v>
      </c>
      <c r="B101" s="642">
        <v>0</v>
      </c>
      <c r="C101" s="184">
        <v>0</v>
      </c>
      <c r="D101" s="184">
        <v>0</v>
      </c>
      <c r="E101" s="184">
        <v>0</v>
      </c>
      <c r="F101" s="184">
        <v>0</v>
      </c>
      <c r="G101" s="184">
        <v>0</v>
      </c>
      <c r="H101" s="184">
        <v>0</v>
      </c>
      <c r="I101" s="184">
        <v>0</v>
      </c>
      <c r="J101" s="184">
        <v>0</v>
      </c>
      <c r="K101" s="184">
        <v>0</v>
      </c>
      <c r="L101" s="184">
        <v>0</v>
      </c>
      <c r="M101" s="654" t="s">
        <v>24</v>
      </c>
      <c r="N101" s="670" t="s">
        <v>125</v>
      </c>
      <c r="O101" s="642">
        <v>0</v>
      </c>
      <c r="P101" s="184">
        <v>0</v>
      </c>
      <c r="Q101" s="184">
        <v>0</v>
      </c>
      <c r="R101" s="184">
        <v>0</v>
      </c>
      <c r="S101" s="184">
        <v>0</v>
      </c>
      <c r="T101" s="184">
        <v>0</v>
      </c>
      <c r="U101" s="184">
        <v>0</v>
      </c>
      <c r="V101" s="184">
        <v>0</v>
      </c>
      <c r="W101" s="184">
        <v>0</v>
      </c>
      <c r="X101" s="184">
        <v>0</v>
      </c>
      <c r="Y101" s="184">
        <v>0</v>
      </c>
      <c r="Z101" s="184">
        <v>0</v>
      </c>
      <c r="AA101" s="184">
        <v>0</v>
      </c>
      <c r="AB101" s="184">
        <v>0</v>
      </c>
      <c r="AC101" s="185" t="s">
        <v>24</v>
      </c>
      <c r="AD101" s="185" t="s">
        <v>24</v>
      </c>
      <c r="AE101" s="184">
        <v>0</v>
      </c>
      <c r="AF101" s="185">
        <v>0</v>
      </c>
      <c r="AG101" s="184">
        <v>0</v>
      </c>
      <c r="AH101" s="185">
        <v>0</v>
      </c>
      <c r="AI101" s="184">
        <v>0</v>
      </c>
      <c r="AJ101" s="643">
        <v>0</v>
      </c>
      <c r="AP101" s="401">
        <f t="shared" si="116"/>
        <v>0</v>
      </c>
      <c r="AR101" s="56">
        <f t="shared" si="117"/>
        <v>0.93749999999999878</v>
      </c>
      <c r="AS101" s="67">
        <f>SUM(C105,C212,C319,C426,C533,C640,C747)/config!$AC$13</f>
        <v>0</v>
      </c>
      <c r="AT101" s="68">
        <f>SUM(D105:E105,D212:E212,D319:E319,D426:E426,D533:E533,D640:E640,D747:E747)/config!$AC$13</f>
        <v>2.4285714285714284</v>
      </c>
      <c r="AU101" s="68">
        <f>SUM(F105:G105,F212:G212,F319:G319,F426:G426,F533:G533,F640:G640,F747:G747)/config!$AC$13</f>
        <v>0</v>
      </c>
      <c r="AV101" s="68">
        <f>SUM(H105,H212,H319,H426,H533,H640,H747)/config!$AC$13</f>
        <v>0</v>
      </c>
      <c r="AW101" s="69">
        <f>SUM(I105:L105,I212:L212,I319:L319,I426:L426,I533:L533,I640:L640,I747:L747)/config!$AC$13</f>
        <v>0</v>
      </c>
      <c r="AY101" s="56">
        <f t="shared" si="118"/>
        <v>0.93749999999999878</v>
      </c>
      <c r="AZ101" s="70">
        <f t="shared" si="85"/>
        <v>1</v>
      </c>
      <c r="BA101" s="71">
        <f t="shared" si="86"/>
        <v>3</v>
      </c>
      <c r="BB101" s="71">
        <f t="shared" si="87"/>
        <v>3</v>
      </c>
      <c r="BC101" s="71">
        <f t="shared" si="88"/>
        <v>0</v>
      </c>
      <c r="BD101" s="71">
        <f t="shared" si="89"/>
        <v>1</v>
      </c>
      <c r="BE101" s="71">
        <f t="shared" si="90"/>
        <v>3</v>
      </c>
      <c r="BF101" s="72">
        <f t="shared" si="91"/>
        <v>6</v>
      </c>
      <c r="BG101" s="45"/>
      <c r="BH101" s="56">
        <f t="shared" si="92"/>
        <v>0.93749999999999878</v>
      </c>
      <c r="BI101" s="67">
        <f t="shared" si="93"/>
        <v>33.200000000000003</v>
      </c>
      <c r="BJ101" s="68">
        <f t="shared" si="94"/>
        <v>38.9</v>
      </c>
      <c r="BK101" s="68">
        <f t="shared" si="95"/>
        <v>39</v>
      </c>
      <c r="BL101" s="68" t="str">
        <f t="shared" si="96"/>
        <v/>
      </c>
      <c r="BM101" s="68">
        <f t="shared" si="97"/>
        <v>34.799999999999997</v>
      </c>
      <c r="BN101" s="68">
        <f t="shared" si="98"/>
        <v>45.2</v>
      </c>
      <c r="BO101" s="69">
        <f t="shared" si="99"/>
        <v>36.799999999999997</v>
      </c>
      <c r="BP101" s="63"/>
      <c r="BQ101" s="64">
        <f t="shared" si="100"/>
        <v>0.93749999999999878</v>
      </c>
      <c r="BR101" s="67" t="str">
        <f t="shared" si="101"/>
        <v/>
      </c>
      <c r="BS101" s="68" t="str">
        <f t="shared" si="102"/>
        <v/>
      </c>
      <c r="BT101" s="68" t="str">
        <f t="shared" si="103"/>
        <v/>
      </c>
      <c r="BU101" s="68" t="str">
        <f t="shared" si="104"/>
        <v/>
      </c>
      <c r="BV101" s="68" t="str">
        <f t="shared" si="105"/>
        <v/>
      </c>
      <c r="BW101" s="68" t="str">
        <f t="shared" si="106"/>
        <v/>
      </c>
      <c r="BX101" s="69" t="str">
        <f t="shared" si="107"/>
        <v/>
      </c>
      <c r="BY101" s="65"/>
      <c r="BZ101" s="66">
        <f t="shared" si="119"/>
        <v>37.983333333333327</v>
      </c>
      <c r="CA101" s="414" t="e">
        <f t="shared" si="108"/>
        <v>#N/A</v>
      </c>
      <c r="CB101" s="416">
        <f t="shared" si="122"/>
        <v>60</v>
      </c>
      <c r="CC101" s="65"/>
      <c r="CD101" s="67">
        <f t="shared" si="109"/>
        <v>0</v>
      </c>
      <c r="CE101" s="68">
        <f t="shared" si="110"/>
        <v>0</v>
      </c>
      <c r="CF101" s="68">
        <f t="shared" si="111"/>
        <v>0</v>
      </c>
      <c r="CG101" s="68">
        <f t="shared" si="112"/>
        <v>0</v>
      </c>
      <c r="CH101" s="68">
        <f t="shared" si="113"/>
        <v>0</v>
      </c>
      <c r="CI101" s="68">
        <f t="shared" si="114"/>
        <v>0</v>
      </c>
      <c r="CJ101" s="69">
        <f t="shared" si="115"/>
        <v>0</v>
      </c>
      <c r="CM101" s="67">
        <f t="shared" si="120"/>
        <v>33.200000000000003</v>
      </c>
      <c r="CN101" s="68">
        <f t="shared" si="123"/>
        <v>116.69999999999999</v>
      </c>
      <c r="CO101" s="68">
        <f t="shared" si="124"/>
        <v>117</v>
      </c>
      <c r="CP101" s="68" t="str">
        <f t="shared" si="125"/>
        <v/>
      </c>
      <c r="CQ101" s="68">
        <f t="shared" si="126"/>
        <v>34.799999999999997</v>
      </c>
      <c r="CR101" s="68">
        <f t="shared" si="127"/>
        <v>135.60000000000002</v>
      </c>
      <c r="CS101" s="69">
        <f t="shared" si="128"/>
        <v>220.79999999999998</v>
      </c>
      <c r="CU101" s="511">
        <f>SUM(SUMIF($AZ$8:$BF$8, {"NON";"NEUT"}, AZ101:BF101))/config!$AC$16</f>
        <v>2.6</v>
      </c>
      <c r="CV101" s="512">
        <f t="shared" si="121"/>
        <v>0.93749999999999878</v>
      </c>
      <c r="CY101" s="67">
        <f>SUM(C105*$CY$108, C212*$CY$109, C319*$CY$110, C426*$CY$111, C533*$CY$112, C640*$CY$113, C747*$CY$114)/config!$AC$16</f>
        <v>0</v>
      </c>
      <c r="CZ101" s="68">
        <f>SUM(SUM(D105:E105)*$CY$108, SUM(D212:E212)*$CY$109, SUM(D319:E319)*$CY$110, SUM(D426:E426)*$CY$111, SUM(D533:E533)*$CY$112, SUM(D640:E640)*$CY$113, SUM(D747:E747)*$CY$114)/config!$AC$16</f>
        <v>2.6</v>
      </c>
      <c r="DA101" s="68">
        <f>SUM(SUM(F105:G105)*$CY$108, SUM(F212:G212)*$CY$109, SUM(F319:G319)*$CY$110, SUM(F426:G426)*$CY$111, SUM(F533:G533)*$CY$112, SUM(F640:G640)*$CY$113, SUM(F747:G747)*$CY$114)/config!$AC$16</f>
        <v>0</v>
      </c>
      <c r="DB101" s="68">
        <f>SUM(H105*$CY$108, H212*$CY$109, H319*$CY$110, H426*$CY$111, H533*$CY$112, H640*$CY$113, H747*$CY$114)/config!$AC$16</f>
        <v>0</v>
      </c>
      <c r="DC101" s="69">
        <f>SUM(SUM(I105:L105)*$CY$108, SUM(I212:L212)*$CY$109, SUM(I319:L319)*$CY$110, SUM(I426:L426)*$CY$111, SUM(I533:L533)*$CY$112, SUM(I640:L640)*$CY$113, SUM(I747:L747)*$CY$114)/config!$AC$16</f>
        <v>0</v>
      </c>
    </row>
    <row r="102" spans="1:107" ht="15" x14ac:dyDescent="0.25">
      <c r="A102" s="440" t="s">
        <v>126</v>
      </c>
      <c r="B102" s="642">
        <v>1</v>
      </c>
      <c r="C102" s="184">
        <v>0</v>
      </c>
      <c r="D102" s="184">
        <v>1</v>
      </c>
      <c r="E102" s="184">
        <v>0</v>
      </c>
      <c r="F102" s="184">
        <v>0</v>
      </c>
      <c r="G102" s="184">
        <v>0</v>
      </c>
      <c r="H102" s="184">
        <v>0</v>
      </c>
      <c r="I102" s="184">
        <v>0</v>
      </c>
      <c r="J102" s="184">
        <v>0</v>
      </c>
      <c r="K102" s="184">
        <v>0</v>
      </c>
      <c r="L102" s="184">
        <v>0</v>
      </c>
      <c r="M102" s="654" t="s">
        <v>24</v>
      </c>
      <c r="N102" s="670" t="s">
        <v>126</v>
      </c>
      <c r="O102" s="642">
        <v>0</v>
      </c>
      <c r="P102" s="184">
        <v>0</v>
      </c>
      <c r="Q102" s="184">
        <v>0</v>
      </c>
      <c r="R102" s="184">
        <v>0</v>
      </c>
      <c r="S102" s="184">
        <v>0</v>
      </c>
      <c r="T102" s="184">
        <v>0</v>
      </c>
      <c r="U102" s="184">
        <v>1</v>
      </c>
      <c r="V102" s="184">
        <v>0</v>
      </c>
      <c r="W102" s="184">
        <v>0</v>
      </c>
      <c r="X102" s="184">
        <v>0</v>
      </c>
      <c r="Y102" s="184">
        <v>0</v>
      </c>
      <c r="Z102" s="184">
        <v>0</v>
      </c>
      <c r="AA102" s="184">
        <v>0</v>
      </c>
      <c r="AB102" s="184">
        <v>0</v>
      </c>
      <c r="AC102" s="185">
        <v>39.5</v>
      </c>
      <c r="AD102" s="185" t="s">
        <v>24</v>
      </c>
      <c r="AE102" s="184">
        <v>0</v>
      </c>
      <c r="AF102" s="185">
        <v>0</v>
      </c>
      <c r="AG102" s="184">
        <v>0</v>
      </c>
      <c r="AH102" s="185">
        <v>0</v>
      </c>
      <c r="AI102" s="184">
        <v>0</v>
      </c>
      <c r="AJ102" s="643">
        <v>0</v>
      </c>
      <c r="AP102" s="401">
        <f t="shared" si="116"/>
        <v>2</v>
      </c>
      <c r="AR102" s="56">
        <f t="shared" si="117"/>
        <v>0.94791666666666541</v>
      </c>
      <c r="AS102" s="67">
        <f>SUM(C106,C213,C320,C427,C534,C641,C748)/config!$AC$13</f>
        <v>0</v>
      </c>
      <c r="AT102" s="68">
        <f>SUM(D106:E106,D213:E213,D320:E320,D427:E427,D534:E534,D641:E641,D748:E748)/config!$AC$13</f>
        <v>1</v>
      </c>
      <c r="AU102" s="68">
        <f>SUM(F106:G106,F213:G213,F320:G320,F427:G427,F534:G534,F641:G641,F748:G748)/config!$AC$13</f>
        <v>0.2857142857142857</v>
      </c>
      <c r="AV102" s="68">
        <f>SUM(H106,H213,H320,H427,H534,H641,H748)/config!$AC$13</f>
        <v>0</v>
      </c>
      <c r="AW102" s="69">
        <f>SUM(I106:L106,I213:L213,I320:L320,I427:L427,I534:L534,I641:L641,I748:L748)/config!$AC$13</f>
        <v>0</v>
      </c>
      <c r="AY102" s="56">
        <f t="shared" si="118"/>
        <v>0.94791666666666541</v>
      </c>
      <c r="AZ102" s="70">
        <f t="shared" si="85"/>
        <v>0</v>
      </c>
      <c r="BA102" s="71">
        <f t="shared" si="86"/>
        <v>3</v>
      </c>
      <c r="BB102" s="71">
        <f t="shared" si="87"/>
        <v>2</v>
      </c>
      <c r="BC102" s="71">
        <f t="shared" si="88"/>
        <v>1</v>
      </c>
      <c r="BD102" s="71">
        <f t="shared" si="89"/>
        <v>2</v>
      </c>
      <c r="BE102" s="71">
        <f t="shared" si="90"/>
        <v>1</v>
      </c>
      <c r="BF102" s="72">
        <f t="shared" si="91"/>
        <v>0</v>
      </c>
      <c r="BG102" s="45"/>
      <c r="BH102" s="56">
        <f t="shared" si="92"/>
        <v>0.94791666666666541</v>
      </c>
      <c r="BI102" s="67" t="str">
        <f t="shared" si="93"/>
        <v/>
      </c>
      <c r="BJ102" s="68">
        <f t="shared" si="94"/>
        <v>48.2</v>
      </c>
      <c r="BK102" s="68">
        <f t="shared" si="95"/>
        <v>39.9</v>
      </c>
      <c r="BL102" s="68">
        <f t="shared" si="96"/>
        <v>36.4</v>
      </c>
      <c r="BM102" s="68">
        <f t="shared" si="97"/>
        <v>42.5</v>
      </c>
      <c r="BN102" s="68">
        <f t="shared" si="98"/>
        <v>48</v>
      </c>
      <c r="BO102" s="69" t="str">
        <f t="shared" si="99"/>
        <v/>
      </c>
      <c r="BP102" s="63"/>
      <c r="BQ102" s="64">
        <f t="shared" si="100"/>
        <v>0.94791666666666541</v>
      </c>
      <c r="BR102" s="67" t="str">
        <f t="shared" si="101"/>
        <v/>
      </c>
      <c r="BS102" s="68" t="str">
        <f t="shared" si="102"/>
        <v/>
      </c>
      <c r="BT102" s="68" t="str">
        <f t="shared" si="103"/>
        <v/>
      </c>
      <c r="BU102" s="68" t="str">
        <f t="shared" si="104"/>
        <v/>
      </c>
      <c r="BV102" s="68" t="str">
        <f t="shared" si="105"/>
        <v/>
      </c>
      <c r="BW102" s="68" t="str">
        <f t="shared" si="106"/>
        <v/>
      </c>
      <c r="BX102" s="69" t="str">
        <f t="shared" si="107"/>
        <v/>
      </c>
      <c r="BY102" s="65"/>
      <c r="BZ102" s="66">
        <f t="shared" si="119"/>
        <v>43</v>
      </c>
      <c r="CA102" s="414" t="e">
        <f t="shared" si="108"/>
        <v>#N/A</v>
      </c>
      <c r="CB102" s="416">
        <f t="shared" si="122"/>
        <v>60</v>
      </c>
      <c r="CC102" s="65"/>
      <c r="CD102" s="67">
        <f t="shared" si="109"/>
        <v>0</v>
      </c>
      <c r="CE102" s="68">
        <f t="shared" si="110"/>
        <v>0</v>
      </c>
      <c r="CF102" s="68">
        <f t="shared" si="111"/>
        <v>0</v>
      </c>
      <c r="CG102" s="68">
        <f t="shared" si="112"/>
        <v>0</v>
      </c>
      <c r="CH102" s="68">
        <f t="shared" si="113"/>
        <v>0</v>
      </c>
      <c r="CI102" s="68">
        <f t="shared" si="114"/>
        <v>0</v>
      </c>
      <c r="CJ102" s="69">
        <f t="shared" si="115"/>
        <v>0</v>
      </c>
      <c r="CM102" s="67" t="str">
        <f t="shared" si="120"/>
        <v/>
      </c>
      <c r="CN102" s="68">
        <f t="shared" si="123"/>
        <v>144.60000000000002</v>
      </c>
      <c r="CO102" s="68">
        <f t="shared" si="124"/>
        <v>79.8</v>
      </c>
      <c r="CP102" s="68">
        <f t="shared" si="125"/>
        <v>36.4</v>
      </c>
      <c r="CQ102" s="68">
        <f t="shared" si="126"/>
        <v>85</v>
      </c>
      <c r="CR102" s="68">
        <f t="shared" si="127"/>
        <v>48</v>
      </c>
      <c r="CS102" s="69" t="str">
        <f t="shared" si="128"/>
        <v/>
      </c>
      <c r="CU102" s="511">
        <f>SUM(SUMIF($AZ$8:$BF$8, {"NON";"NEUT"}, AZ102:BF102))/config!$AC$16</f>
        <v>1.2</v>
      </c>
      <c r="CV102" s="512">
        <f t="shared" si="121"/>
        <v>0.94791666666666541</v>
      </c>
      <c r="CY102" s="67">
        <f>SUM(C106*$CY$108, C213*$CY$109, C320*$CY$110, C427*$CY$111, C534*$CY$112, C641*$CY$113, C748*$CY$114)/config!$AC$16</f>
        <v>0</v>
      </c>
      <c r="CZ102" s="68">
        <f>SUM(SUM(D106:E106)*$CY$108, SUM(D213:E213)*$CY$109, SUM(D320:E320)*$CY$110, SUM(D427:E427)*$CY$111, SUM(D534:E534)*$CY$112, SUM(D641:E641)*$CY$113, SUM(D748:E748)*$CY$114)/config!$AC$16</f>
        <v>0.8</v>
      </c>
      <c r="DA102" s="68">
        <f>SUM(SUM(F106:G106)*$CY$108, SUM(F213:G213)*$CY$109, SUM(F320:G320)*$CY$110, SUM(F427:G427)*$CY$111, SUM(F534:G534)*$CY$112, SUM(F641:G641)*$CY$113, SUM(F748:G748)*$CY$114)/config!$AC$16</f>
        <v>0.4</v>
      </c>
      <c r="DB102" s="68">
        <f>SUM(H106*$CY$108, H213*$CY$109, H320*$CY$110, H427*$CY$111, H534*$CY$112, H641*$CY$113, H748*$CY$114)/config!$AC$16</f>
        <v>0</v>
      </c>
      <c r="DC102" s="69">
        <f>SUM(SUM(I106:L106)*$CY$108, SUM(I213:L213)*$CY$109, SUM(I320:L320)*$CY$110, SUM(I427:L427)*$CY$111, SUM(I534:L534)*$CY$112, SUM(I641:L641)*$CY$113, SUM(I748:L748)*$CY$114)/config!$AC$16</f>
        <v>0</v>
      </c>
    </row>
    <row r="103" spans="1:107" ht="15" x14ac:dyDescent="0.25">
      <c r="A103" s="440" t="s">
        <v>76</v>
      </c>
      <c r="B103" s="642">
        <v>0</v>
      </c>
      <c r="C103" s="184">
        <v>0</v>
      </c>
      <c r="D103" s="184">
        <v>0</v>
      </c>
      <c r="E103" s="184">
        <v>0</v>
      </c>
      <c r="F103" s="184">
        <v>0</v>
      </c>
      <c r="G103" s="184">
        <v>0</v>
      </c>
      <c r="H103" s="184">
        <v>0</v>
      </c>
      <c r="I103" s="184">
        <v>0</v>
      </c>
      <c r="J103" s="184">
        <v>0</v>
      </c>
      <c r="K103" s="184">
        <v>0</v>
      </c>
      <c r="L103" s="184">
        <v>0</v>
      </c>
      <c r="M103" s="654" t="s">
        <v>24</v>
      </c>
      <c r="N103" s="670" t="s">
        <v>76</v>
      </c>
      <c r="O103" s="642">
        <v>0</v>
      </c>
      <c r="P103" s="184">
        <v>0</v>
      </c>
      <c r="Q103" s="184">
        <v>0</v>
      </c>
      <c r="R103" s="184">
        <v>0</v>
      </c>
      <c r="S103" s="184">
        <v>0</v>
      </c>
      <c r="T103" s="184">
        <v>0</v>
      </c>
      <c r="U103" s="184">
        <v>0</v>
      </c>
      <c r="V103" s="184">
        <v>0</v>
      </c>
      <c r="W103" s="184">
        <v>0</v>
      </c>
      <c r="X103" s="184">
        <v>0</v>
      </c>
      <c r="Y103" s="184">
        <v>0</v>
      </c>
      <c r="Z103" s="184">
        <v>0</v>
      </c>
      <c r="AA103" s="184">
        <v>0</v>
      </c>
      <c r="AB103" s="184">
        <v>0</v>
      </c>
      <c r="AC103" s="185" t="s">
        <v>24</v>
      </c>
      <c r="AD103" s="185" t="s">
        <v>24</v>
      </c>
      <c r="AE103" s="184">
        <v>0</v>
      </c>
      <c r="AF103" s="185">
        <v>0</v>
      </c>
      <c r="AG103" s="184">
        <v>0</v>
      </c>
      <c r="AH103" s="185">
        <v>0</v>
      </c>
      <c r="AI103" s="184">
        <v>0</v>
      </c>
      <c r="AJ103" s="643">
        <v>0</v>
      </c>
      <c r="AP103" s="401">
        <f t="shared" si="116"/>
        <v>0</v>
      </c>
      <c r="AR103" s="56">
        <f t="shared" si="117"/>
        <v>0.95833333333333204</v>
      </c>
      <c r="AS103" s="67">
        <f>SUM(C107,C214,C321,C428,C535,C642,C749)/config!$AC$13</f>
        <v>0</v>
      </c>
      <c r="AT103" s="68">
        <f>SUM(D107:E107,D214:E214,D321:E321,D428:E428,D535:E535,D642:E642,D749:E749)/config!$AC$13</f>
        <v>1.1428571428571428</v>
      </c>
      <c r="AU103" s="68">
        <f>SUM(F107:G107,F214:G214,F321:G321,F428:G428,F535:G535,F642:G642,F749:G749)/config!$AC$13</f>
        <v>0</v>
      </c>
      <c r="AV103" s="68">
        <f>SUM(H107,H214,H321,H428,H535,H642,H749)/config!$AC$13</f>
        <v>0</v>
      </c>
      <c r="AW103" s="69">
        <f>SUM(I107:L107,I214:L214,I321:L321,I428:L428,I535:L535,I642:L642,I749:L749)/config!$AC$13</f>
        <v>0</v>
      </c>
      <c r="AY103" s="56">
        <f t="shared" si="118"/>
        <v>0.95833333333333204</v>
      </c>
      <c r="AZ103" s="70">
        <f t="shared" si="85"/>
        <v>1</v>
      </c>
      <c r="BA103" s="71">
        <f t="shared" si="86"/>
        <v>0</v>
      </c>
      <c r="BB103" s="71">
        <f t="shared" si="87"/>
        <v>2</v>
      </c>
      <c r="BC103" s="71">
        <f t="shared" si="88"/>
        <v>1</v>
      </c>
      <c r="BD103" s="71">
        <f t="shared" si="89"/>
        <v>2</v>
      </c>
      <c r="BE103" s="71">
        <f t="shared" si="90"/>
        <v>1</v>
      </c>
      <c r="BF103" s="72">
        <f t="shared" si="91"/>
        <v>1</v>
      </c>
      <c r="BG103" s="45"/>
      <c r="BH103" s="56">
        <f t="shared" si="92"/>
        <v>0.95833333333333204</v>
      </c>
      <c r="BI103" s="67">
        <f t="shared" si="93"/>
        <v>36.200000000000003</v>
      </c>
      <c r="BJ103" s="68" t="str">
        <f t="shared" si="94"/>
        <v/>
      </c>
      <c r="BK103" s="68">
        <f t="shared" si="95"/>
        <v>46.6</v>
      </c>
      <c r="BL103" s="68">
        <f t="shared" si="96"/>
        <v>48.2</v>
      </c>
      <c r="BM103" s="68">
        <f t="shared" si="97"/>
        <v>37.700000000000003</v>
      </c>
      <c r="BN103" s="68">
        <f t="shared" si="98"/>
        <v>49.9</v>
      </c>
      <c r="BO103" s="69">
        <f t="shared" si="99"/>
        <v>37.799999999999997</v>
      </c>
      <c r="BP103" s="63"/>
      <c r="BQ103" s="64">
        <f t="shared" si="100"/>
        <v>0.95833333333333204</v>
      </c>
      <c r="BR103" s="67" t="str">
        <f t="shared" si="101"/>
        <v/>
      </c>
      <c r="BS103" s="68" t="str">
        <f t="shared" si="102"/>
        <v/>
      </c>
      <c r="BT103" s="68" t="str">
        <f t="shared" si="103"/>
        <v/>
      </c>
      <c r="BU103" s="68" t="str">
        <f t="shared" si="104"/>
        <v/>
      </c>
      <c r="BV103" s="68" t="str">
        <f t="shared" si="105"/>
        <v/>
      </c>
      <c r="BW103" s="68" t="str">
        <f t="shared" si="106"/>
        <v/>
      </c>
      <c r="BX103" s="69" t="str">
        <f t="shared" si="107"/>
        <v/>
      </c>
      <c r="BY103" s="65"/>
      <c r="BZ103" s="66">
        <f t="shared" si="119"/>
        <v>42.733333333333327</v>
      </c>
      <c r="CA103" s="414" t="e">
        <f t="shared" si="108"/>
        <v>#N/A</v>
      </c>
      <c r="CB103" s="416">
        <f t="shared" si="122"/>
        <v>60</v>
      </c>
      <c r="CC103" s="65"/>
      <c r="CD103" s="67">
        <f t="shared" si="109"/>
        <v>0</v>
      </c>
      <c r="CE103" s="68">
        <f t="shared" si="110"/>
        <v>0</v>
      </c>
      <c r="CF103" s="68">
        <f t="shared" si="111"/>
        <v>0</v>
      </c>
      <c r="CG103" s="68">
        <f t="shared" si="112"/>
        <v>0</v>
      </c>
      <c r="CH103" s="68">
        <f t="shared" si="113"/>
        <v>0</v>
      </c>
      <c r="CI103" s="68">
        <f t="shared" si="114"/>
        <v>0</v>
      </c>
      <c r="CJ103" s="69">
        <f t="shared" si="115"/>
        <v>0</v>
      </c>
      <c r="CM103" s="67">
        <f t="shared" si="120"/>
        <v>36.200000000000003</v>
      </c>
      <c r="CN103" s="68" t="str">
        <f t="shared" si="123"/>
        <v/>
      </c>
      <c r="CO103" s="68">
        <f t="shared" si="124"/>
        <v>93.2</v>
      </c>
      <c r="CP103" s="68">
        <f t="shared" si="125"/>
        <v>48.2</v>
      </c>
      <c r="CQ103" s="68">
        <f t="shared" si="126"/>
        <v>75.400000000000006</v>
      </c>
      <c r="CR103" s="68">
        <f t="shared" si="127"/>
        <v>49.9</v>
      </c>
      <c r="CS103" s="69">
        <f t="shared" si="128"/>
        <v>37.799999999999997</v>
      </c>
      <c r="CU103" s="511">
        <f>SUM(SUMIF($AZ$8:$BF$8, {"NON";"NEUT"}, AZ103:BF103))/config!$AC$16</f>
        <v>1</v>
      </c>
      <c r="CV103" s="512">
        <f t="shared" si="121"/>
        <v>0.95833333333333204</v>
      </c>
      <c r="CY103" s="67">
        <f>SUM(C107*$CY$108, C214*$CY$109, C321*$CY$110, C428*$CY$111, C535*$CY$112, C642*$CY$113, C749*$CY$114)/config!$AC$16</f>
        <v>0</v>
      </c>
      <c r="CZ103" s="68">
        <f>SUM(SUM(D107:E107)*$CY$108, SUM(D214:E214)*$CY$109, SUM(D321:E321)*$CY$110, SUM(D428:E428)*$CY$111, SUM(D535:E535)*$CY$112, SUM(D642:E642)*$CY$113, SUM(D749:E749)*$CY$114)/config!$AC$16</f>
        <v>1</v>
      </c>
      <c r="DA103" s="68">
        <f>SUM(SUM(F107:G107)*$CY$108, SUM(F214:G214)*$CY$109, SUM(F321:G321)*$CY$110, SUM(F428:G428)*$CY$111, SUM(F535:G535)*$CY$112, SUM(F642:G642)*$CY$113, SUM(F749:G749)*$CY$114)/config!$AC$16</f>
        <v>0</v>
      </c>
      <c r="DB103" s="68">
        <f>SUM(H107*$CY$108, H214*$CY$109, H321*$CY$110, H428*$CY$111, H535*$CY$112, H642*$CY$113, H749*$CY$114)/config!$AC$16</f>
        <v>0</v>
      </c>
      <c r="DC103" s="69">
        <f>SUM(SUM(I107:L107)*$CY$108, SUM(I214:L214)*$CY$109, SUM(I321:L321)*$CY$110, SUM(I428:L428)*$CY$111, SUM(I535:L535)*$CY$112, SUM(I642:L642)*$CY$113, SUM(I749:L749)*$CY$114)/config!$AC$16</f>
        <v>0</v>
      </c>
    </row>
    <row r="104" spans="1:107" ht="15" x14ac:dyDescent="0.25">
      <c r="A104" s="440" t="s">
        <v>127</v>
      </c>
      <c r="B104" s="642">
        <v>3</v>
      </c>
      <c r="C104" s="184">
        <v>0</v>
      </c>
      <c r="D104" s="184">
        <v>3</v>
      </c>
      <c r="E104" s="184">
        <v>0</v>
      </c>
      <c r="F104" s="184">
        <v>0</v>
      </c>
      <c r="G104" s="184">
        <v>0</v>
      </c>
      <c r="H104" s="184">
        <v>0</v>
      </c>
      <c r="I104" s="184">
        <v>0</v>
      </c>
      <c r="J104" s="184">
        <v>0</v>
      </c>
      <c r="K104" s="184">
        <v>0</v>
      </c>
      <c r="L104" s="184">
        <v>0</v>
      </c>
      <c r="M104" s="654" t="s">
        <v>24</v>
      </c>
      <c r="N104" s="670" t="s">
        <v>127</v>
      </c>
      <c r="O104" s="642">
        <v>0</v>
      </c>
      <c r="P104" s="184">
        <v>0</v>
      </c>
      <c r="Q104" s="184">
        <v>0</v>
      </c>
      <c r="R104" s="184">
        <v>0</v>
      </c>
      <c r="S104" s="184">
        <v>0</v>
      </c>
      <c r="T104" s="184">
        <v>0</v>
      </c>
      <c r="U104" s="184">
        <v>0</v>
      </c>
      <c r="V104" s="184">
        <v>0</v>
      </c>
      <c r="W104" s="184">
        <v>0</v>
      </c>
      <c r="X104" s="184">
        <v>2</v>
      </c>
      <c r="Y104" s="184">
        <v>1</v>
      </c>
      <c r="Z104" s="184">
        <v>0</v>
      </c>
      <c r="AA104" s="184">
        <v>0</v>
      </c>
      <c r="AB104" s="184">
        <v>0</v>
      </c>
      <c r="AC104" s="185">
        <v>55.4</v>
      </c>
      <c r="AD104" s="185" t="s">
        <v>24</v>
      </c>
      <c r="AE104" s="184">
        <v>1</v>
      </c>
      <c r="AF104" s="185">
        <v>33.333333333333329</v>
      </c>
      <c r="AG104" s="184">
        <v>0</v>
      </c>
      <c r="AH104" s="185">
        <v>0</v>
      </c>
      <c r="AI104" s="184">
        <v>0</v>
      </c>
      <c r="AJ104" s="643">
        <v>0</v>
      </c>
      <c r="AP104" s="401">
        <f t="shared" si="116"/>
        <v>1</v>
      </c>
      <c r="AR104" s="56">
        <f t="shared" si="117"/>
        <v>0.96874999999999867</v>
      </c>
      <c r="AS104" s="67">
        <f>SUM(C108,C215,C322,C429,C536,C643,C750)/config!$AC$13</f>
        <v>0.14285714285714285</v>
      </c>
      <c r="AT104" s="68">
        <f>SUM(D108:E108,D215:E215,D322:E322,D429:E429,D536:E536,D643:E643,D750:E750)/config!$AC$13</f>
        <v>0.5714285714285714</v>
      </c>
      <c r="AU104" s="68">
        <f>SUM(F108:G108,F215:G215,F322:G322,F429:G429,F536:G536,F643:G643,F750:G750)/config!$AC$13</f>
        <v>0.14285714285714285</v>
      </c>
      <c r="AV104" s="68">
        <f>SUM(H108,H215,H322,H429,H536,H643,H750)/config!$AC$13</f>
        <v>0</v>
      </c>
      <c r="AW104" s="69">
        <f>SUM(I108:L108,I215:L215,I322:L322,I429:L429,I536:L536,I643:L643,I750:L750)/config!$AC$13</f>
        <v>0</v>
      </c>
      <c r="AY104" s="56">
        <f t="shared" si="118"/>
        <v>0.96874999999999867</v>
      </c>
      <c r="AZ104" s="70">
        <f t="shared" si="85"/>
        <v>0</v>
      </c>
      <c r="BA104" s="71">
        <f t="shared" si="86"/>
        <v>1</v>
      </c>
      <c r="BB104" s="71">
        <f t="shared" si="87"/>
        <v>1</v>
      </c>
      <c r="BC104" s="71">
        <f t="shared" si="88"/>
        <v>1</v>
      </c>
      <c r="BD104" s="71">
        <f t="shared" si="89"/>
        <v>2</v>
      </c>
      <c r="BE104" s="71">
        <f t="shared" si="90"/>
        <v>0</v>
      </c>
      <c r="BF104" s="72">
        <f t="shared" si="91"/>
        <v>1</v>
      </c>
      <c r="BG104" s="45"/>
      <c r="BH104" s="56">
        <f t="shared" si="92"/>
        <v>0.96874999999999867</v>
      </c>
      <c r="BI104" s="67" t="str">
        <f t="shared" si="93"/>
        <v/>
      </c>
      <c r="BJ104" s="68">
        <f t="shared" si="94"/>
        <v>13.7</v>
      </c>
      <c r="BK104" s="68">
        <f t="shared" si="95"/>
        <v>41.9</v>
      </c>
      <c r="BL104" s="68">
        <f t="shared" si="96"/>
        <v>41.1</v>
      </c>
      <c r="BM104" s="68">
        <f t="shared" si="97"/>
        <v>49.3</v>
      </c>
      <c r="BN104" s="68" t="str">
        <f t="shared" si="98"/>
        <v/>
      </c>
      <c r="BO104" s="69">
        <f t="shared" si="99"/>
        <v>33.700000000000003</v>
      </c>
      <c r="BP104" s="63"/>
      <c r="BQ104" s="64">
        <f t="shared" si="100"/>
        <v>0.96874999999999867</v>
      </c>
      <c r="BR104" s="67" t="str">
        <f t="shared" si="101"/>
        <v/>
      </c>
      <c r="BS104" s="68" t="str">
        <f t="shared" si="102"/>
        <v/>
      </c>
      <c r="BT104" s="68" t="str">
        <f t="shared" si="103"/>
        <v/>
      </c>
      <c r="BU104" s="68" t="str">
        <f t="shared" si="104"/>
        <v/>
      </c>
      <c r="BV104" s="68" t="str">
        <f t="shared" si="105"/>
        <v/>
      </c>
      <c r="BW104" s="68" t="str">
        <f t="shared" si="106"/>
        <v/>
      </c>
      <c r="BX104" s="69" t="str">
        <f t="shared" si="107"/>
        <v/>
      </c>
      <c r="BY104" s="65"/>
      <c r="BZ104" s="66">
        <f t="shared" si="119"/>
        <v>35.94</v>
      </c>
      <c r="CA104" s="414" t="e">
        <f t="shared" si="108"/>
        <v>#N/A</v>
      </c>
      <c r="CB104" s="416">
        <f t="shared" si="122"/>
        <v>60</v>
      </c>
      <c r="CC104" s="65"/>
      <c r="CD104" s="67">
        <f t="shared" si="109"/>
        <v>0</v>
      </c>
      <c r="CE104" s="68">
        <f t="shared" si="110"/>
        <v>0</v>
      </c>
      <c r="CF104" s="68">
        <f t="shared" si="111"/>
        <v>0</v>
      </c>
      <c r="CG104" s="68">
        <f t="shared" si="112"/>
        <v>0</v>
      </c>
      <c r="CH104" s="68">
        <f t="shared" si="113"/>
        <v>1</v>
      </c>
      <c r="CI104" s="68">
        <f t="shared" si="114"/>
        <v>0</v>
      </c>
      <c r="CJ104" s="69">
        <f t="shared" si="115"/>
        <v>0</v>
      </c>
      <c r="CM104" s="67" t="str">
        <f t="shared" si="120"/>
        <v/>
      </c>
      <c r="CN104" s="68">
        <f t="shared" si="123"/>
        <v>13.7</v>
      </c>
      <c r="CO104" s="68">
        <f t="shared" si="124"/>
        <v>41.9</v>
      </c>
      <c r="CP104" s="68">
        <f t="shared" si="125"/>
        <v>41.1</v>
      </c>
      <c r="CQ104" s="68">
        <f t="shared" si="126"/>
        <v>98.6</v>
      </c>
      <c r="CR104" s="68" t="str">
        <f t="shared" si="127"/>
        <v/>
      </c>
      <c r="CS104" s="69">
        <f t="shared" si="128"/>
        <v>33.700000000000003</v>
      </c>
      <c r="CU104" s="511">
        <f>SUM(SUMIF($AZ$8:$BF$8, {"NON";"NEUT"}, AZ104:BF104))/config!$AC$16</f>
        <v>0.8</v>
      </c>
      <c r="CV104" s="512">
        <f t="shared" si="121"/>
        <v>0.96874999999999867</v>
      </c>
      <c r="CY104" s="67">
        <f>SUM(C108*$CY$108, C215*$CY$109, C322*$CY$110, C429*$CY$111, C536*$CY$112, C643*$CY$113, C750*$CY$114)/config!$AC$16</f>
        <v>0.2</v>
      </c>
      <c r="CZ104" s="68">
        <f>SUM(SUM(D108:E108)*$CY$108, SUM(D215:E215)*$CY$109, SUM(D322:E322)*$CY$110, SUM(D429:E429)*$CY$111, SUM(D536:E536)*$CY$112, SUM(D643:E643)*$CY$113, SUM(D750:E750)*$CY$114)/config!$AC$16</f>
        <v>0.4</v>
      </c>
      <c r="DA104" s="68">
        <f>SUM(SUM(F108:G108)*$CY$108, SUM(F215:G215)*$CY$109, SUM(F322:G322)*$CY$110, SUM(F429:G429)*$CY$111, SUM(F536:G536)*$CY$112, SUM(F643:G643)*$CY$113, SUM(F750:G750)*$CY$114)/config!$AC$16</f>
        <v>0.2</v>
      </c>
      <c r="DB104" s="68">
        <f>SUM(H108*$CY$108, H215*$CY$109, H322*$CY$110, H429*$CY$111, H536*$CY$112, H643*$CY$113, H750*$CY$114)/config!$AC$16</f>
        <v>0</v>
      </c>
      <c r="DC104" s="69">
        <f>SUM(SUM(I108:L108)*$CY$108, SUM(I215:L215)*$CY$109, SUM(I322:L322)*$CY$110, SUM(I429:L429)*$CY$111, SUM(I536:L536)*$CY$112, SUM(I643:L643)*$CY$113, SUM(I750:L750)*$CY$114)/config!$AC$16</f>
        <v>0</v>
      </c>
    </row>
    <row r="105" spans="1:107" ht="15" x14ac:dyDescent="0.25">
      <c r="A105" s="440" t="s">
        <v>128</v>
      </c>
      <c r="B105" s="642">
        <v>1</v>
      </c>
      <c r="C105" s="184">
        <v>0</v>
      </c>
      <c r="D105" s="184">
        <v>1</v>
      </c>
      <c r="E105" s="184">
        <v>0</v>
      </c>
      <c r="F105" s="184">
        <v>0</v>
      </c>
      <c r="G105" s="184">
        <v>0</v>
      </c>
      <c r="H105" s="184">
        <v>0</v>
      </c>
      <c r="I105" s="184">
        <v>0</v>
      </c>
      <c r="J105" s="184">
        <v>0</v>
      </c>
      <c r="K105" s="184">
        <v>0</v>
      </c>
      <c r="L105" s="184">
        <v>0</v>
      </c>
      <c r="M105" s="654" t="s">
        <v>24</v>
      </c>
      <c r="N105" s="670" t="s">
        <v>128</v>
      </c>
      <c r="O105" s="642">
        <v>0</v>
      </c>
      <c r="P105" s="184">
        <v>0</v>
      </c>
      <c r="Q105" s="184">
        <v>0</v>
      </c>
      <c r="R105" s="184">
        <v>0</v>
      </c>
      <c r="S105" s="184">
        <v>0</v>
      </c>
      <c r="T105" s="184">
        <v>1</v>
      </c>
      <c r="U105" s="184">
        <v>0</v>
      </c>
      <c r="V105" s="184">
        <v>0</v>
      </c>
      <c r="W105" s="184">
        <v>0</v>
      </c>
      <c r="X105" s="184">
        <v>0</v>
      </c>
      <c r="Y105" s="184">
        <v>0</v>
      </c>
      <c r="Z105" s="184">
        <v>0</v>
      </c>
      <c r="AA105" s="184">
        <v>0</v>
      </c>
      <c r="AB105" s="184">
        <v>0</v>
      </c>
      <c r="AC105" s="185">
        <v>33.200000000000003</v>
      </c>
      <c r="AD105" s="185" t="s">
        <v>24</v>
      </c>
      <c r="AE105" s="184">
        <v>0</v>
      </c>
      <c r="AF105" s="185">
        <v>0</v>
      </c>
      <c r="AG105" s="184">
        <v>0</v>
      </c>
      <c r="AH105" s="185">
        <v>0</v>
      </c>
      <c r="AI105" s="184">
        <v>0</v>
      </c>
      <c r="AJ105" s="643">
        <v>0</v>
      </c>
      <c r="AP105" s="401">
        <f t="shared" si="116"/>
        <v>0</v>
      </c>
      <c r="AR105" s="56">
        <f t="shared" si="117"/>
        <v>0.9791666666666653</v>
      </c>
      <c r="AS105" s="67">
        <f>SUM(C109,C216,C323,C430,C537,C644,C751)/config!$AC$13</f>
        <v>0</v>
      </c>
      <c r="AT105" s="68">
        <f>SUM(D109:E109,D216:E216,D323:E323,D430:E430,D537:E537,D644:E644,D751:E751)/config!$AC$13</f>
        <v>0.42857142857142855</v>
      </c>
      <c r="AU105" s="68">
        <f>SUM(F109:G109,F216:G216,F323:G323,F430:G430,F537:G537,F644:G644,F751:G751)/config!$AC$13</f>
        <v>0</v>
      </c>
      <c r="AV105" s="68">
        <f>SUM(H109,H216,H323,H430,H537,H644,H751)/config!$AC$13</f>
        <v>0</v>
      </c>
      <c r="AW105" s="69">
        <f>SUM(I109:L109,I216:L216,I323:L323,I430:L430,I537:L537,I644:L644,I751:L751)/config!$AC$13</f>
        <v>0</v>
      </c>
      <c r="AY105" s="56">
        <f t="shared" si="118"/>
        <v>0.9791666666666653</v>
      </c>
      <c r="AZ105" s="70">
        <f t="shared" si="85"/>
        <v>0</v>
      </c>
      <c r="BA105" s="71">
        <f t="shared" si="86"/>
        <v>0</v>
      </c>
      <c r="BB105" s="71">
        <f t="shared" si="87"/>
        <v>0</v>
      </c>
      <c r="BC105" s="71">
        <f t="shared" si="88"/>
        <v>0</v>
      </c>
      <c r="BD105" s="71">
        <f t="shared" si="89"/>
        <v>1</v>
      </c>
      <c r="BE105" s="71">
        <f t="shared" si="90"/>
        <v>0</v>
      </c>
      <c r="BF105" s="72">
        <f t="shared" si="91"/>
        <v>2</v>
      </c>
      <c r="BG105" s="45"/>
      <c r="BH105" s="56">
        <f t="shared" si="92"/>
        <v>0.9791666666666653</v>
      </c>
      <c r="BI105" s="67" t="str">
        <f t="shared" si="93"/>
        <v/>
      </c>
      <c r="BJ105" s="68" t="str">
        <f t="shared" si="94"/>
        <v/>
      </c>
      <c r="BK105" s="68" t="str">
        <f t="shared" si="95"/>
        <v/>
      </c>
      <c r="BL105" s="68" t="str">
        <f t="shared" si="96"/>
        <v/>
      </c>
      <c r="BM105" s="68">
        <f t="shared" si="97"/>
        <v>46.2</v>
      </c>
      <c r="BN105" s="68" t="str">
        <f t="shared" si="98"/>
        <v/>
      </c>
      <c r="BO105" s="69">
        <f t="shared" si="99"/>
        <v>52</v>
      </c>
      <c r="BP105" s="63"/>
      <c r="BQ105" s="64">
        <f t="shared" si="100"/>
        <v>0.9791666666666653</v>
      </c>
      <c r="BR105" s="67" t="str">
        <f t="shared" si="101"/>
        <v/>
      </c>
      <c r="BS105" s="68" t="str">
        <f t="shared" si="102"/>
        <v/>
      </c>
      <c r="BT105" s="68" t="str">
        <f t="shared" si="103"/>
        <v/>
      </c>
      <c r="BU105" s="68" t="str">
        <f t="shared" si="104"/>
        <v/>
      </c>
      <c r="BV105" s="68" t="str">
        <f t="shared" si="105"/>
        <v/>
      </c>
      <c r="BW105" s="68" t="str">
        <f t="shared" si="106"/>
        <v/>
      </c>
      <c r="BX105" s="69" t="str">
        <f t="shared" si="107"/>
        <v/>
      </c>
      <c r="BY105" s="65"/>
      <c r="BZ105" s="66">
        <f t="shared" si="119"/>
        <v>49.1</v>
      </c>
      <c r="CA105" s="414" t="e">
        <f t="shared" si="108"/>
        <v>#N/A</v>
      </c>
      <c r="CB105" s="416">
        <f t="shared" si="122"/>
        <v>60</v>
      </c>
      <c r="CC105" s="65"/>
      <c r="CD105" s="67">
        <f t="shared" si="109"/>
        <v>0</v>
      </c>
      <c r="CE105" s="68">
        <f t="shared" si="110"/>
        <v>0</v>
      </c>
      <c r="CF105" s="68">
        <f t="shared" si="111"/>
        <v>0</v>
      </c>
      <c r="CG105" s="68">
        <f t="shared" si="112"/>
        <v>0</v>
      </c>
      <c r="CH105" s="68">
        <f t="shared" si="113"/>
        <v>0</v>
      </c>
      <c r="CI105" s="68">
        <f t="shared" si="114"/>
        <v>0</v>
      </c>
      <c r="CJ105" s="69">
        <f t="shared" si="115"/>
        <v>0</v>
      </c>
      <c r="CM105" s="67" t="str">
        <f t="shared" si="120"/>
        <v/>
      </c>
      <c r="CN105" s="68" t="str">
        <f t="shared" si="123"/>
        <v/>
      </c>
      <c r="CO105" s="68" t="str">
        <f t="shared" si="124"/>
        <v/>
      </c>
      <c r="CP105" s="68" t="str">
        <f t="shared" si="125"/>
        <v/>
      </c>
      <c r="CQ105" s="68">
        <f t="shared" si="126"/>
        <v>46.2</v>
      </c>
      <c r="CR105" s="68" t="str">
        <f t="shared" si="127"/>
        <v/>
      </c>
      <c r="CS105" s="69">
        <f t="shared" si="128"/>
        <v>104</v>
      </c>
      <c r="CU105" s="511">
        <f>SUM(SUMIF($AZ$8:$BF$8, {"NON";"NEUT"}, AZ105:BF105))/config!$AC$16</f>
        <v>0.4</v>
      </c>
      <c r="CV105" s="512">
        <f t="shared" si="121"/>
        <v>0.9791666666666653</v>
      </c>
      <c r="CY105" s="67">
        <f>SUM(C109*$CY$108, C216*$CY$109, C323*$CY$110, C430*$CY$111, C537*$CY$112, C644*$CY$113, C751*$CY$114)/config!$AC$16</f>
        <v>0</v>
      </c>
      <c r="CZ105" s="68">
        <f>SUM(SUM(D109:E109)*$CY$108, SUM(D216:E216)*$CY$109, SUM(D323:E323)*$CY$110, SUM(D430:E430)*$CY$111, SUM(D537:E537)*$CY$112, SUM(D644:E644)*$CY$113, SUM(D751:E751)*$CY$114)/config!$AC$16</f>
        <v>0.4</v>
      </c>
      <c r="DA105" s="68">
        <f>SUM(SUM(F109:G109)*$CY$108, SUM(F216:G216)*$CY$109, SUM(F323:G323)*$CY$110, SUM(F430:G430)*$CY$111, SUM(F537:G537)*$CY$112, SUM(F644:G644)*$CY$113, SUM(F751:G751)*$CY$114)/config!$AC$16</f>
        <v>0</v>
      </c>
      <c r="DB105" s="68">
        <f>SUM(H109*$CY$108, H216*$CY$109, H323*$CY$110, H430*$CY$111, H537*$CY$112, H644*$CY$113, H751*$CY$114)/config!$AC$16</f>
        <v>0</v>
      </c>
      <c r="DC105" s="69">
        <f>SUM(SUM(I109:L109)*$CY$108, SUM(I216:L216)*$CY$109, SUM(I323:L323)*$CY$110, SUM(I430:L430)*$CY$111, SUM(I537:L537)*$CY$112, SUM(I644:L644)*$CY$113, SUM(I751:L751)*$CY$114)/config!$AC$16</f>
        <v>0</v>
      </c>
    </row>
    <row r="106" spans="1:107" ht="15.75" thickBot="1" x14ac:dyDescent="0.3">
      <c r="A106" s="440" t="s">
        <v>129</v>
      </c>
      <c r="B106" s="642">
        <v>0</v>
      </c>
      <c r="C106" s="184">
        <v>0</v>
      </c>
      <c r="D106" s="184">
        <v>0</v>
      </c>
      <c r="E106" s="184">
        <v>0</v>
      </c>
      <c r="F106" s="184">
        <v>0</v>
      </c>
      <c r="G106" s="184">
        <v>0</v>
      </c>
      <c r="H106" s="184">
        <v>0</v>
      </c>
      <c r="I106" s="184">
        <v>0</v>
      </c>
      <c r="J106" s="184">
        <v>0</v>
      </c>
      <c r="K106" s="184">
        <v>0</v>
      </c>
      <c r="L106" s="184">
        <v>0</v>
      </c>
      <c r="M106" s="654" t="s">
        <v>24</v>
      </c>
      <c r="N106" s="670" t="s">
        <v>129</v>
      </c>
      <c r="O106" s="642">
        <v>0</v>
      </c>
      <c r="P106" s="184">
        <v>0</v>
      </c>
      <c r="Q106" s="184">
        <v>0</v>
      </c>
      <c r="R106" s="184">
        <v>0</v>
      </c>
      <c r="S106" s="184">
        <v>0</v>
      </c>
      <c r="T106" s="184">
        <v>0</v>
      </c>
      <c r="U106" s="184">
        <v>0</v>
      </c>
      <c r="V106" s="184">
        <v>0</v>
      </c>
      <c r="W106" s="184">
        <v>0</v>
      </c>
      <c r="X106" s="184">
        <v>0</v>
      </c>
      <c r="Y106" s="184">
        <v>0</v>
      </c>
      <c r="Z106" s="184">
        <v>0</v>
      </c>
      <c r="AA106" s="184">
        <v>0</v>
      </c>
      <c r="AB106" s="184">
        <v>0</v>
      </c>
      <c r="AC106" s="185" t="s">
        <v>24</v>
      </c>
      <c r="AD106" s="185" t="s">
        <v>24</v>
      </c>
      <c r="AE106" s="184">
        <v>0</v>
      </c>
      <c r="AF106" s="185">
        <v>0</v>
      </c>
      <c r="AG106" s="184">
        <v>0</v>
      </c>
      <c r="AH106" s="185">
        <v>0</v>
      </c>
      <c r="AI106" s="184">
        <v>0</v>
      </c>
      <c r="AJ106" s="643">
        <v>0</v>
      </c>
      <c r="AP106" s="402">
        <f t="shared" si="116"/>
        <v>0</v>
      </c>
      <c r="AR106" s="56">
        <f t="shared" si="117"/>
        <v>0.98958333333333193</v>
      </c>
      <c r="AS106" s="85">
        <f>SUM(C110,C217,C324,C431,C538,C645,C752)/config!$AC$13</f>
        <v>0</v>
      </c>
      <c r="AT106" s="86">
        <f>SUM(D110:E110,D217:E217,D324:E324,D431:E431,D538:E538,D645:E645,D752:E752)/config!$AC$13</f>
        <v>0.14285714285714285</v>
      </c>
      <c r="AU106" s="86">
        <f>SUM(F110:G110,F217:G217,F324:G324,F431:G431,F538:G538,F645:G645,F752:G752)/config!$AC$13</f>
        <v>0</v>
      </c>
      <c r="AV106" s="86">
        <f>SUM(H110,H217,H324,H431,H538,H645,H752)/config!$AC$13</f>
        <v>0</v>
      </c>
      <c r="AW106" s="87">
        <f>SUM(I110:L110,I217:L217,I324:L324,I431:L431,I538:L538,I645:L645,I752:L752)/config!$AC$13</f>
        <v>0</v>
      </c>
      <c r="AY106" s="56">
        <f t="shared" si="118"/>
        <v>0.98958333333333193</v>
      </c>
      <c r="AZ106" s="88">
        <f>B110</f>
        <v>0</v>
      </c>
      <c r="BA106" s="89">
        <f t="shared" si="86"/>
        <v>0</v>
      </c>
      <c r="BB106" s="89">
        <f t="shared" si="87"/>
        <v>0</v>
      </c>
      <c r="BC106" s="89">
        <f t="shared" si="88"/>
        <v>0</v>
      </c>
      <c r="BD106" s="89">
        <f t="shared" si="89"/>
        <v>1</v>
      </c>
      <c r="BE106" s="89">
        <f t="shared" si="90"/>
        <v>0</v>
      </c>
      <c r="BF106" s="90">
        <f t="shared" si="91"/>
        <v>0</v>
      </c>
      <c r="BG106" s="45"/>
      <c r="BH106" s="56">
        <f t="shared" si="92"/>
        <v>0.98958333333333193</v>
      </c>
      <c r="BI106" s="85" t="str">
        <f t="shared" si="93"/>
        <v/>
      </c>
      <c r="BJ106" s="86" t="str">
        <f t="shared" si="94"/>
        <v/>
      </c>
      <c r="BK106" s="86" t="str">
        <f t="shared" si="95"/>
        <v/>
      </c>
      <c r="BL106" s="86" t="str">
        <f t="shared" si="96"/>
        <v/>
      </c>
      <c r="BM106" s="86">
        <f t="shared" si="97"/>
        <v>41.1</v>
      </c>
      <c r="BN106" s="86" t="str">
        <f t="shared" si="98"/>
        <v/>
      </c>
      <c r="BO106" s="87" t="str">
        <f t="shared" si="99"/>
        <v/>
      </c>
      <c r="BP106" s="63"/>
      <c r="BQ106" s="64">
        <f t="shared" si="100"/>
        <v>0.98958333333333193</v>
      </c>
      <c r="BR106" s="85" t="str">
        <f t="shared" si="101"/>
        <v/>
      </c>
      <c r="BS106" s="86" t="str">
        <f t="shared" si="102"/>
        <v/>
      </c>
      <c r="BT106" s="86" t="str">
        <f t="shared" si="103"/>
        <v/>
      </c>
      <c r="BU106" s="86" t="str">
        <f t="shared" si="104"/>
        <v/>
      </c>
      <c r="BV106" s="86" t="str">
        <f t="shared" si="105"/>
        <v/>
      </c>
      <c r="BW106" s="86" t="str">
        <f t="shared" si="106"/>
        <v/>
      </c>
      <c r="BX106" s="87" t="str">
        <f t="shared" si="107"/>
        <v/>
      </c>
      <c r="BY106" s="65"/>
      <c r="BZ106" s="66">
        <f t="shared" si="119"/>
        <v>41.1</v>
      </c>
      <c r="CA106" s="414" t="e">
        <f t="shared" ref="CA106" si="129">IFERROR(SUM(BR106:BX106) / COUNTIF(BR106:BX106, "&gt;0"), NA())</f>
        <v>#N/A</v>
      </c>
      <c r="CB106" s="416">
        <f t="shared" si="122"/>
        <v>60</v>
      </c>
      <c r="CC106" s="65"/>
      <c r="CD106" s="85">
        <f t="shared" si="109"/>
        <v>0</v>
      </c>
      <c r="CE106" s="86">
        <f t="shared" si="110"/>
        <v>0</v>
      </c>
      <c r="CF106" s="86">
        <f t="shared" si="111"/>
        <v>0</v>
      </c>
      <c r="CG106" s="86">
        <f t="shared" si="112"/>
        <v>0</v>
      </c>
      <c r="CH106" s="86">
        <f t="shared" si="113"/>
        <v>0</v>
      </c>
      <c r="CI106" s="86">
        <f t="shared" si="114"/>
        <v>0</v>
      </c>
      <c r="CJ106" s="87">
        <f t="shared" si="115"/>
        <v>0</v>
      </c>
      <c r="CM106" s="85" t="str">
        <f t="shared" si="120"/>
        <v/>
      </c>
      <c r="CN106" s="86" t="str">
        <f t="shared" si="123"/>
        <v/>
      </c>
      <c r="CO106" s="86" t="str">
        <f t="shared" si="124"/>
        <v/>
      </c>
      <c r="CP106" s="86" t="str">
        <f t="shared" si="125"/>
        <v/>
      </c>
      <c r="CQ106" s="86">
        <f t="shared" si="126"/>
        <v>41.1</v>
      </c>
      <c r="CR106" s="86" t="str">
        <f t="shared" si="127"/>
        <v/>
      </c>
      <c r="CS106" s="87" t="str">
        <f t="shared" si="128"/>
        <v/>
      </c>
      <c r="CU106" s="513">
        <f>SUM(SUMIF($AZ$8:$BF$8, {"NON";"NEUT"}, AZ106:BF106))/config!$AC$16</f>
        <v>0</v>
      </c>
      <c r="CV106" s="514">
        <f t="shared" si="121"/>
        <v>0.98958333333333193</v>
      </c>
      <c r="CY106" s="85">
        <f>SUM(C110*$CY$108, C217*$CY$109, C324*$CY$110, C431*$CY$111, C538*$CY$112, C645*$CY$113, C752*$CY$114)/config!$AC$16</f>
        <v>0</v>
      </c>
      <c r="CZ106" s="86">
        <f>SUM(SUM(D110:E110)*$CY$108, SUM(D217:E217)*$CY$109, SUM(D324:E324)*$CY$110, SUM(D431:E431)*$CY$111, SUM(D538:E538)*$CY$112, SUM(D645:E645)*$CY$113, SUM(D752:E752)*$CY$114)/config!$AC$16</f>
        <v>0</v>
      </c>
      <c r="DA106" s="86">
        <f>SUM(SUM(F110:G110)*$CY$108, SUM(F217:G217)*$CY$109, SUM(F324:G324)*$CY$110, SUM(F431:G431)*$CY$111, SUM(F538:G538)*$CY$112, SUM(F645:G645)*$CY$113, SUM(F752:G752)*$CY$114)/config!$AC$16</f>
        <v>0</v>
      </c>
      <c r="DB106" s="86">
        <f>SUM(H110*$CY$108, H217*$CY$109, H324*$CY$110, H431*$CY$111, H538*$CY$112, H645*$CY$113, H752*$CY$114)/config!$AC$16</f>
        <v>0</v>
      </c>
      <c r="DC106" s="87">
        <f>SUM(SUM(I110:L110)*$CY$108, SUM(I217:L217)*$CY$109, SUM(I324:L324)*$CY$110, SUM(I431:L431)*$CY$111, SUM(I538:L538)*$CY$112, SUM(I645:L645)*$CY$113, SUM(I752:L752)*$CY$114)/config!$AC$16</f>
        <v>0</v>
      </c>
    </row>
    <row r="107" spans="1:107" ht="15" x14ac:dyDescent="0.25">
      <c r="A107" s="440" t="s">
        <v>78</v>
      </c>
      <c r="B107" s="642">
        <v>1</v>
      </c>
      <c r="C107" s="184">
        <v>0</v>
      </c>
      <c r="D107" s="184">
        <v>1</v>
      </c>
      <c r="E107" s="184">
        <v>0</v>
      </c>
      <c r="F107" s="184">
        <v>0</v>
      </c>
      <c r="G107" s="184">
        <v>0</v>
      </c>
      <c r="H107" s="184">
        <v>0</v>
      </c>
      <c r="I107" s="184">
        <v>0</v>
      </c>
      <c r="J107" s="184">
        <v>0</v>
      </c>
      <c r="K107" s="184">
        <v>0</v>
      </c>
      <c r="L107" s="184">
        <v>0</v>
      </c>
      <c r="M107" s="654" t="s">
        <v>24</v>
      </c>
      <c r="N107" s="670" t="s">
        <v>78</v>
      </c>
      <c r="O107" s="642">
        <v>0</v>
      </c>
      <c r="P107" s="184">
        <v>0</v>
      </c>
      <c r="Q107" s="184">
        <v>0</v>
      </c>
      <c r="R107" s="184">
        <v>0</v>
      </c>
      <c r="S107" s="184">
        <v>0</v>
      </c>
      <c r="T107" s="184">
        <v>0</v>
      </c>
      <c r="U107" s="184">
        <v>1</v>
      </c>
      <c r="V107" s="184">
        <v>0</v>
      </c>
      <c r="W107" s="184">
        <v>0</v>
      </c>
      <c r="X107" s="184">
        <v>0</v>
      </c>
      <c r="Y107" s="184">
        <v>0</v>
      </c>
      <c r="Z107" s="184">
        <v>0</v>
      </c>
      <c r="AA107" s="184">
        <v>0</v>
      </c>
      <c r="AB107" s="184">
        <v>0</v>
      </c>
      <c r="AC107" s="185">
        <v>36.200000000000003</v>
      </c>
      <c r="AD107" s="185" t="s">
        <v>24</v>
      </c>
      <c r="AE107" s="184">
        <v>0</v>
      </c>
      <c r="AF107" s="185">
        <v>0</v>
      </c>
      <c r="AG107" s="184">
        <v>0</v>
      </c>
      <c r="AH107" s="185">
        <v>0</v>
      </c>
      <c r="AI107" s="184">
        <v>0</v>
      </c>
      <c r="AJ107" s="643">
        <v>0</v>
      </c>
      <c r="AY107" s="91" t="s">
        <v>234</v>
      </c>
      <c r="AZ107" s="92">
        <f t="shared" ref="AZ107:BE107" si="130">IF(AZ108&lt;&gt;0,COUNTIF(AZ11:AZ106, "&gt;0"),0)</f>
        <v>0</v>
      </c>
      <c r="BA107" s="92">
        <f t="shared" si="130"/>
        <v>0</v>
      </c>
      <c r="BB107" s="92">
        <f t="shared" si="130"/>
        <v>0</v>
      </c>
      <c r="BC107" s="92">
        <f t="shared" si="130"/>
        <v>0</v>
      </c>
      <c r="BD107" s="92">
        <f t="shared" si="130"/>
        <v>0</v>
      </c>
      <c r="BE107" s="92">
        <f t="shared" si="130"/>
        <v>0</v>
      </c>
      <c r="BF107" s="92">
        <f>IF(BF108&lt;&gt;0,COUNTIF(BF11:BF106, "&gt;0"),0)</f>
        <v>0</v>
      </c>
      <c r="BG107" s="93"/>
      <c r="BH107" s="91"/>
      <c r="BI107" s="92"/>
      <c r="BJ107" s="92"/>
      <c r="BK107" s="92"/>
      <c r="BL107" s="92"/>
      <c r="BM107" s="92"/>
      <c r="BN107" s="92"/>
      <c r="BO107" s="92"/>
      <c r="BP107" s="92"/>
      <c r="BQ107" s="91"/>
      <c r="BR107" s="92"/>
      <c r="BS107" s="92"/>
      <c r="BT107" s="92"/>
      <c r="BU107" s="92"/>
      <c r="BV107" s="92"/>
      <c r="BW107" s="92"/>
      <c r="BX107" s="92"/>
    </row>
    <row r="108" spans="1:107" ht="15" x14ac:dyDescent="0.25">
      <c r="A108" s="440" t="s">
        <v>130</v>
      </c>
      <c r="B108" s="642">
        <v>0</v>
      </c>
      <c r="C108" s="184">
        <v>0</v>
      </c>
      <c r="D108" s="184">
        <v>0</v>
      </c>
      <c r="E108" s="184">
        <v>0</v>
      </c>
      <c r="F108" s="184">
        <v>0</v>
      </c>
      <c r="G108" s="184">
        <v>0</v>
      </c>
      <c r="H108" s="184">
        <v>0</v>
      </c>
      <c r="I108" s="184">
        <v>0</v>
      </c>
      <c r="J108" s="184">
        <v>0</v>
      </c>
      <c r="K108" s="184">
        <v>0</v>
      </c>
      <c r="L108" s="184">
        <v>0</v>
      </c>
      <c r="M108" s="654" t="s">
        <v>24</v>
      </c>
      <c r="N108" s="670" t="s">
        <v>130</v>
      </c>
      <c r="O108" s="642">
        <v>0</v>
      </c>
      <c r="P108" s="184">
        <v>0</v>
      </c>
      <c r="Q108" s="184">
        <v>0</v>
      </c>
      <c r="R108" s="184">
        <v>0</v>
      </c>
      <c r="S108" s="184">
        <v>0</v>
      </c>
      <c r="T108" s="184">
        <v>0</v>
      </c>
      <c r="U108" s="184">
        <v>0</v>
      </c>
      <c r="V108" s="184">
        <v>0</v>
      </c>
      <c r="W108" s="184">
        <v>0</v>
      </c>
      <c r="X108" s="184">
        <v>0</v>
      </c>
      <c r="Y108" s="184">
        <v>0</v>
      </c>
      <c r="Z108" s="184">
        <v>0</v>
      </c>
      <c r="AA108" s="184">
        <v>0</v>
      </c>
      <c r="AB108" s="184">
        <v>0</v>
      </c>
      <c r="AC108" s="185" t="s">
        <v>24</v>
      </c>
      <c r="AD108" s="185" t="s">
        <v>24</v>
      </c>
      <c r="AE108" s="184">
        <v>0</v>
      </c>
      <c r="AF108" s="185">
        <v>0</v>
      </c>
      <c r="AG108" s="184">
        <v>0</v>
      </c>
      <c r="AH108" s="185">
        <v>0</v>
      </c>
      <c r="AI108" s="184">
        <v>0</v>
      </c>
      <c r="AJ108" s="643">
        <v>0</v>
      </c>
      <c r="AY108" s="94"/>
      <c r="AZ108" s="95"/>
      <c r="BA108" s="95"/>
      <c r="BB108" s="95"/>
      <c r="BC108" s="95"/>
      <c r="BD108" s="95"/>
      <c r="BE108" s="95"/>
      <c r="BF108" s="95"/>
      <c r="BG108" s="96"/>
      <c r="BH108" s="94"/>
      <c r="BI108" s="97"/>
      <c r="BJ108" s="97"/>
      <c r="BK108" s="97"/>
      <c r="BL108" s="97"/>
      <c r="BM108" s="97"/>
      <c r="BN108" s="97"/>
      <c r="BO108" s="97"/>
      <c r="BP108" s="98"/>
      <c r="BQ108" s="94"/>
      <c r="BR108" s="97"/>
      <c r="BS108" s="97"/>
      <c r="BT108" s="97"/>
      <c r="BU108" s="97"/>
      <c r="BV108" s="97"/>
      <c r="BW108" s="97"/>
      <c r="BX108" s="97"/>
      <c r="BY108" s="154"/>
      <c r="CC108" s="94"/>
      <c r="CD108" s="95"/>
      <c r="CE108" s="95"/>
      <c r="CF108" s="95"/>
      <c r="CG108" s="95"/>
      <c r="CH108" s="95"/>
      <c r="CI108" s="95"/>
      <c r="CJ108" s="95"/>
      <c r="CK108" s="96"/>
      <c r="CX108" s="153" t="s">
        <v>415</v>
      </c>
      <c r="CY108" s="29">
        <f>IF(WEEKDAY(config!AD5, 2)&lt;=5,1,0)</f>
        <v>1</v>
      </c>
    </row>
    <row r="109" spans="1:107" ht="15" x14ac:dyDescent="0.2">
      <c r="A109" s="440" t="s">
        <v>131</v>
      </c>
      <c r="B109" s="642">
        <v>0</v>
      </c>
      <c r="C109" s="184">
        <v>0</v>
      </c>
      <c r="D109" s="184">
        <v>0</v>
      </c>
      <c r="E109" s="184">
        <v>0</v>
      </c>
      <c r="F109" s="184">
        <v>0</v>
      </c>
      <c r="G109" s="184">
        <v>0</v>
      </c>
      <c r="H109" s="184">
        <v>0</v>
      </c>
      <c r="I109" s="184">
        <v>0</v>
      </c>
      <c r="J109" s="184">
        <v>0</v>
      </c>
      <c r="K109" s="184">
        <v>0</v>
      </c>
      <c r="L109" s="184">
        <v>0</v>
      </c>
      <c r="M109" s="654" t="s">
        <v>24</v>
      </c>
      <c r="N109" s="670" t="s">
        <v>131</v>
      </c>
      <c r="O109" s="642">
        <v>0</v>
      </c>
      <c r="P109" s="184">
        <v>0</v>
      </c>
      <c r="Q109" s="184">
        <v>0</v>
      </c>
      <c r="R109" s="184">
        <v>0</v>
      </c>
      <c r="S109" s="184">
        <v>0</v>
      </c>
      <c r="T109" s="184">
        <v>0</v>
      </c>
      <c r="U109" s="184">
        <v>0</v>
      </c>
      <c r="V109" s="184">
        <v>0</v>
      </c>
      <c r="W109" s="184">
        <v>0</v>
      </c>
      <c r="X109" s="184">
        <v>0</v>
      </c>
      <c r="Y109" s="184">
        <v>0</v>
      </c>
      <c r="Z109" s="184">
        <v>0</v>
      </c>
      <c r="AA109" s="184">
        <v>0</v>
      </c>
      <c r="AB109" s="184">
        <v>0</v>
      </c>
      <c r="AC109" s="185" t="s">
        <v>24</v>
      </c>
      <c r="AD109" s="185" t="s">
        <v>24</v>
      </c>
      <c r="AE109" s="184">
        <v>0</v>
      </c>
      <c r="AF109" s="185">
        <v>0</v>
      </c>
      <c r="AG109" s="184">
        <v>0</v>
      </c>
      <c r="AH109" s="185">
        <v>0</v>
      </c>
      <c r="AI109" s="184">
        <v>0</v>
      </c>
      <c r="AJ109" s="643">
        <v>0</v>
      </c>
      <c r="AY109" s="94"/>
      <c r="AZ109" s="100"/>
      <c r="BA109" s="100"/>
      <c r="BB109" s="100"/>
      <c r="BC109" s="100"/>
      <c r="BD109" s="100"/>
      <c r="BE109" s="100"/>
      <c r="BF109" s="100"/>
      <c r="BG109" s="96"/>
      <c r="BH109" s="94"/>
      <c r="BI109" s="101"/>
      <c r="BJ109" s="101"/>
      <c r="BK109" s="101"/>
      <c r="BL109" s="101"/>
      <c r="BM109" s="101"/>
      <c r="BN109" s="101"/>
      <c r="BO109" s="101"/>
      <c r="BP109" s="102"/>
      <c r="BQ109" s="94"/>
      <c r="BR109" s="101"/>
      <c r="BS109" s="101"/>
      <c r="BT109" s="101"/>
      <c r="BU109" s="101"/>
      <c r="BV109" s="101"/>
      <c r="BW109" s="101"/>
      <c r="BX109" s="101"/>
      <c r="BY109" s="154"/>
      <c r="CX109" s="153" t="s">
        <v>416</v>
      </c>
      <c r="CY109" s="29">
        <f>IF(WEEKDAY(config!AD6, 2)&lt;=5,1,0)</f>
        <v>1</v>
      </c>
    </row>
    <row r="110" spans="1:107" ht="15" x14ac:dyDescent="0.25">
      <c r="A110" s="440" t="s">
        <v>132</v>
      </c>
      <c r="B110" s="648">
        <v>0</v>
      </c>
      <c r="C110" s="649">
        <v>0</v>
      </c>
      <c r="D110" s="649">
        <v>0</v>
      </c>
      <c r="E110" s="649">
        <v>0</v>
      </c>
      <c r="F110" s="649">
        <v>0</v>
      </c>
      <c r="G110" s="649">
        <v>0</v>
      </c>
      <c r="H110" s="649">
        <v>0</v>
      </c>
      <c r="I110" s="649">
        <v>0</v>
      </c>
      <c r="J110" s="649">
        <v>0</v>
      </c>
      <c r="K110" s="649">
        <v>0</v>
      </c>
      <c r="L110" s="649">
        <v>0</v>
      </c>
      <c r="M110" s="657" t="s">
        <v>24</v>
      </c>
      <c r="N110" s="670" t="s">
        <v>132</v>
      </c>
      <c r="O110" s="648">
        <v>0</v>
      </c>
      <c r="P110" s="649">
        <v>0</v>
      </c>
      <c r="Q110" s="649">
        <v>0</v>
      </c>
      <c r="R110" s="649">
        <v>0</v>
      </c>
      <c r="S110" s="649">
        <v>0</v>
      </c>
      <c r="T110" s="649">
        <v>0</v>
      </c>
      <c r="U110" s="649">
        <v>0</v>
      </c>
      <c r="V110" s="649">
        <v>0</v>
      </c>
      <c r="W110" s="649">
        <v>0</v>
      </c>
      <c r="X110" s="649">
        <v>0</v>
      </c>
      <c r="Y110" s="649">
        <v>0</v>
      </c>
      <c r="Z110" s="649">
        <v>0</v>
      </c>
      <c r="AA110" s="649">
        <v>0</v>
      </c>
      <c r="AB110" s="649">
        <v>0</v>
      </c>
      <c r="AC110" s="650" t="s">
        <v>24</v>
      </c>
      <c r="AD110" s="650" t="s">
        <v>24</v>
      </c>
      <c r="AE110" s="649">
        <v>0</v>
      </c>
      <c r="AF110" s="650">
        <v>0</v>
      </c>
      <c r="AG110" s="649">
        <v>0</v>
      </c>
      <c r="AH110" s="650">
        <v>0</v>
      </c>
      <c r="AI110" s="649">
        <v>0</v>
      </c>
      <c r="AJ110" s="651">
        <v>0</v>
      </c>
      <c r="AY110" s="94" t="s">
        <v>171</v>
      </c>
      <c r="AZ110" s="103">
        <f>SUM(H114:L114)</f>
        <v>2</v>
      </c>
      <c r="BA110" s="103">
        <f>SUM(H221:L221)</f>
        <v>2</v>
      </c>
      <c r="BB110" s="103">
        <f>SUM(H328:L328)</f>
        <v>3</v>
      </c>
      <c r="BC110" s="103">
        <f>SUM(H435:L435)</f>
        <v>4</v>
      </c>
      <c r="BD110" s="103">
        <f>SUM(H542:L542)</f>
        <v>4</v>
      </c>
      <c r="BE110" s="103">
        <f>SUM(H649:L649)</f>
        <v>0</v>
      </c>
      <c r="BF110" s="103">
        <f>SUM(H756:L756)</f>
        <v>2</v>
      </c>
      <c r="BH110" s="94"/>
      <c r="BI110" s="103"/>
      <c r="BJ110" s="103"/>
      <c r="BK110" s="103"/>
      <c r="BL110" s="103"/>
      <c r="BM110" s="103"/>
      <c r="BN110" s="103"/>
      <c r="BO110" s="103"/>
      <c r="BQ110" s="94"/>
      <c r="BR110" s="97"/>
      <c r="BS110" s="97"/>
      <c r="BT110" s="97"/>
      <c r="BU110" s="97"/>
      <c r="BV110" s="97"/>
      <c r="BW110" s="97"/>
      <c r="BX110" s="97"/>
      <c r="CX110" s="153" t="s">
        <v>417</v>
      </c>
      <c r="CY110" s="29">
        <f>IF(WEEKDAY(config!AD7, 2)&lt;=5,1,0)</f>
        <v>1</v>
      </c>
    </row>
    <row r="111" spans="1:107" ht="15" x14ac:dyDescent="0.25">
      <c r="A111" s="440" t="s">
        <v>133</v>
      </c>
      <c r="B111" s="598">
        <v>548</v>
      </c>
      <c r="C111" s="599">
        <v>9</v>
      </c>
      <c r="D111" s="599">
        <v>484</v>
      </c>
      <c r="E111" s="599">
        <v>7</v>
      </c>
      <c r="F111" s="599">
        <v>45</v>
      </c>
      <c r="G111" s="599">
        <v>1</v>
      </c>
      <c r="H111" s="599">
        <v>0</v>
      </c>
      <c r="I111" s="599">
        <v>0</v>
      </c>
      <c r="J111" s="599">
        <v>2</v>
      </c>
      <c r="K111" s="599">
        <v>0</v>
      </c>
      <c r="L111" s="599">
        <v>0</v>
      </c>
      <c r="M111" s="599" t="s">
        <v>24</v>
      </c>
      <c r="N111" s="587" t="s">
        <v>133</v>
      </c>
      <c r="O111" s="599">
        <v>0</v>
      </c>
      <c r="P111" s="599">
        <v>4</v>
      </c>
      <c r="Q111" s="599">
        <v>2</v>
      </c>
      <c r="R111" s="599">
        <v>6</v>
      </c>
      <c r="S111" s="599">
        <v>15</v>
      </c>
      <c r="T111" s="599">
        <v>84</v>
      </c>
      <c r="U111" s="599">
        <v>145</v>
      </c>
      <c r="V111" s="599">
        <v>157</v>
      </c>
      <c r="W111" s="599">
        <v>98</v>
      </c>
      <c r="X111" s="599">
        <v>33</v>
      </c>
      <c r="Y111" s="599">
        <v>4</v>
      </c>
      <c r="Z111" s="599">
        <v>0</v>
      </c>
      <c r="AA111" s="599">
        <v>0</v>
      </c>
      <c r="AB111" s="599">
        <v>0</v>
      </c>
      <c r="AC111" s="611">
        <v>40.020833333333321</v>
      </c>
      <c r="AD111" s="611">
        <v>47.75185185185186</v>
      </c>
      <c r="AE111" s="599">
        <v>4</v>
      </c>
      <c r="AF111" s="611">
        <v>0.52331349206349198</v>
      </c>
      <c r="AG111" s="599">
        <v>0</v>
      </c>
      <c r="AH111" s="611">
        <v>0</v>
      </c>
      <c r="AI111" s="599">
        <v>0</v>
      </c>
      <c r="AJ111" s="612">
        <v>0</v>
      </c>
      <c r="AY111" s="104"/>
      <c r="AZ111" s="105"/>
      <c r="BA111" s="105"/>
      <c r="BB111" s="105"/>
      <c r="BC111" s="105"/>
      <c r="BD111" s="105"/>
      <c r="BE111" s="105"/>
      <c r="BF111" s="105"/>
      <c r="BH111" s="94"/>
      <c r="BI111" s="97"/>
      <c r="BJ111" s="97"/>
      <c r="BK111" s="97"/>
      <c r="BL111" s="97"/>
      <c r="BM111" s="97"/>
      <c r="BN111" s="97"/>
      <c r="BO111" s="97"/>
      <c r="BQ111" s="31"/>
      <c r="CX111" s="153" t="s">
        <v>418</v>
      </c>
      <c r="CY111" s="29">
        <f>IF(WEEKDAY(config!AD8, 2)&lt;=5,1,0)</f>
        <v>1</v>
      </c>
    </row>
    <row r="112" spans="1:107" ht="15" x14ac:dyDescent="0.25">
      <c r="A112" s="440" t="s">
        <v>134</v>
      </c>
      <c r="B112" s="601">
        <v>628</v>
      </c>
      <c r="C112" s="441">
        <v>10</v>
      </c>
      <c r="D112" s="441">
        <v>560</v>
      </c>
      <c r="E112" s="441">
        <v>7</v>
      </c>
      <c r="F112" s="441">
        <v>48</v>
      </c>
      <c r="G112" s="441">
        <v>1</v>
      </c>
      <c r="H112" s="441">
        <v>0</v>
      </c>
      <c r="I112" s="441">
        <v>0</v>
      </c>
      <c r="J112" s="441">
        <v>2</v>
      </c>
      <c r="K112" s="441">
        <v>0</v>
      </c>
      <c r="L112" s="441">
        <v>0</v>
      </c>
      <c r="M112" s="441" t="s">
        <v>24</v>
      </c>
      <c r="N112" s="588" t="s">
        <v>134</v>
      </c>
      <c r="O112" s="441">
        <v>0</v>
      </c>
      <c r="P112" s="441">
        <v>4</v>
      </c>
      <c r="Q112" s="441">
        <v>2</v>
      </c>
      <c r="R112" s="441">
        <v>7</v>
      </c>
      <c r="S112" s="441">
        <v>16</v>
      </c>
      <c r="T112" s="441">
        <v>88</v>
      </c>
      <c r="U112" s="441">
        <v>165</v>
      </c>
      <c r="V112" s="441">
        <v>183</v>
      </c>
      <c r="W112" s="441">
        <v>112</v>
      </c>
      <c r="X112" s="441">
        <v>44</v>
      </c>
      <c r="Y112" s="441">
        <v>7</v>
      </c>
      <c r="Z112" s="441">
        <v>0</v>
      </c>
      <c r="AA112" s="441">
        <v>0</v>
      </c>
      <c r="AB112" s="441">
        <v>0</v>
      </c>
      <c r="AC112" s="442">
        <v>40.690476190476168</v>
      </c>
      <c r="AD112" s="442">
        <v>47.75185185185186</v>
      </c>
      <c r="AE112" s="441">
        <v>7</v>
      </c>
      <c r="AF112" s="442">
        <v>1.1737351190476191</v>
      </c>
      <c r="AG112" s="441">
        <v>0</v>
      </c>
      <c r="AH112" s="442">
        <v>0</v>
      </c>
      <c r="AI112" s="441">
        <v>0</v>
      </c>
      <c r="AJ112" s="613">
        <v>0</v>
      </c>
      <c r="AY112" s="31"/>
      <c r="BH112" s="104"/>
      <c r="BI112" s="97"/>
      <c r="BJ112" s="97"/>
      <c r="BK112" s="97"/>
      <c r="BL112" s="97"/>
      <c r="BM112" s="97"/>
      <c r="BN112" s="97"/>
      <c r="BO112" s="97"/>
      <c r="BQ112" s="104"/>
      <c r="BR112" s="97"/>
      <c r="BS112" s="97"/>
      <c r="BT112" s="97"/>
      <c r="BU112" s="97"/>
      <c r="BV112" s="97"/>
      <c r="BW112" s="97"/>
      <c r="BX112" s="97"/>
      <c r="BY112" s="154"/>
      <c r="CX112" s="153" t="s">
        <v>419</v>
      </c>
      <c r="CY112" s="29">
        <f>IF(WEEKDAY(config!AD9, 2)&lt;=5,1,0)</f>
        <v>0</v>
      </c>
    </row>
    <row r="113" spans="1:107" x14ac:dyDescent="0.2">
      <c r="A113" s="440" t="s">
        <v>135</v>
      </c>
      <c r="B113" s="601">
        <v>633</v>
      </c>
      <c r="C113" s="441">
        <v>10</v>
      </c>
      <c r="D113" s="441">
        <v>565</v>
      </c>
      <c r="E113" s="441">
        <v>7</v>
      </c>
      <c r="F113" s="441">
        <v>48</v>
      </c>
      <c r="G113" s="441">
        <v>1</v>
      </c>
      <c r="H113" s="441">
        <v>0</v>
      </c>
      <c r="I113" s="441">
        <v>0</v>
      </c>
      <c r="J113" s="441">
        <v>2</v>
      </c>
      <c r="K113" s="441">
        <v>0</v>
      </c>
      <c r="L113" s="441">
        <v>0</v>
      </c>
      <c r="M113" s="441" t="s">
        <v>24</v>
      </c>
      <c r="N113" s="588" t="s">
        <v>135</v>
      </c>
      <c r="O113" s="441">
        <v>0</v>
      </c>
      <c r="P113" s="441">
        <v>4</v>
      </c>
      <c r="Q113" s="441">
        <v>2</v>
      </c>
      <c r="R113" s="441">
        <v>7</v>
      </c>
      <c r="S113" s="441">
        <v>16</v>
      </c>
      <c r="T113" s="441">
        <v>89</v>
      </c>
      <c r="U113" s="441">
        <v>166</v>
      </c>
      <c r="V113" s="441">
        <v>183</v>
      </c>
      <c r="W113" s="441">
        <v>112</v>
      </c>
      <c r="X113" s="441">
        <v>46</v>
      </c>
      <c r="Y113" s="441">
        <v>8</v>
      </c>
      <c r="Z113" s="441">
        <v>0</v>
      </c>
      <c r="AA113" s="441">
        <v>0</v>
      </c>
      <c r="AB113" s="441">
        <v>0</v>
      </c>
      <c r="AC113" s="442">
        <v>40.731818181818156</v>
      </c>
      <c r="AD113" s="442">
        <v>47.75185185185186</v>
      </c>
      <c r="AE113" s="441">
        <v>8</v>
      </c>
      <c r="AF113" s="442">
        <v>1.5062830687830688</v>
      </c>
      <c r="AG113" s="441">
        <v>0</v>
      </c>
      <c r="AH113" s="442">
        <v>0</v>
      </c>
      <c r="AI113" s="441">
        <v>0</v>
      </c>
      <c r="AJ113" s="613">
        <v>0</v>
      </c>
      <c r="BR113" s="270"/>
      <c r="BS113" s="270"/>
      <c r="BT113" s="270"/>
      <c r="BU113" s="270"/>
      <c r="BV113" s="270"/>
      <c r="BW113" s="270"/>
      <c r="BX113" s="270"/>
      <c r="CX113" s="153" t="s">
        <v>420</v>
      </c>
      <c r="CY113" s="29">
        <f>IF(WEEKDAY(config!AD10, 2)&lt;=5,1,0)</f>
        <v>0</v>
      </c>
    </row>
    <row r="114" spans="1:107" ht="13.5" thickBot="1" x14ac:dyDescent="0.25">
      <c r="A114" s="440" t="s">
        <v>136</v>
      </c>
      <c r="B114" s="603">
        <v>646</v>
      </c>
      <c r="C114" s="604">
        <v>10</v>
      </c>
      <c r="D114" s="604">
        <v>578</v>
      </c>
      <c r="E114" s="604">
        <v>7</v>
      </c>
      <c r="F114" s="604">
        <v>48</v>
      </c>
      <c r="G114" s="604">
        <v>1</v>
      </c>
      <c r="H114" s="604">
        <v>0</v>
      </c>
      <c r="I114" s="604">
        <v>0</v>
      </c>
      <c r="J114" s="604">
        <v>2</v>
      </c>
      <c r="K114" s="604">
        <v>0</v>
      </c>
      <c r="L114" s="604">
        <v>0</v>
      </c>
      <c r="M114" s="604" t="s">
        <v>24</v>
      </c>
      <c r="N114" s="589" t="s">
        <v>136</v>
      </c>
      <c r="O114" s="604">
        <v>0</v>
      </c>
      <c r="P114" s="604">
        <v>4</v>
      </c>
      <c r="Q114" s="604">
        <v>2</v>
      </c>
      <c r="R114" s="604">
        <v>7</v>
      </c>
      <c r="S114" s="604">
        <v>16</v>
      </c>
      <c r="T114" s="604">
        <v>89</v>
      </c>
      <c r="U114" s="604">
        <v>168</v>
      </c>
      <c r="V114" s="604">
        <v>186</v>
      </c>
      <c r="W114" s="604">
        <v>117</v>
      </c>
      <c r="X114" s="604">
        <v>48</v>
      </c>
      <c r="Y114" s="604">
        <v>9</v>
      </c>
      <c r="Z114" s="604">
        <v>0</v>
      </c>
      <c r="AA114" s="604">
        <v>0</v>
      </c>
      <c r="AB114" s="604">
        <v>0</v>
      </c>
      <c r="AC114" s="614">
        <v>40.944285714285691</v>
      </c>
      <c r="AD114" s="614">
        <v>47.75185185185186</v>
      </c>
      <c r="AE114" s="604">
        <v>9</v>
      </c>
      <c r="AF114" s="614">
        <v>1.3033234126984128</v>
      </c>
      <c r="AG114" s="604">
        <v>0</v>
      </c>
      <c r="AH114" s="614">
        <v>0</v>
      </c>
      <c r="AI114" s="604">
        <v>0</v>
      </c>
      <c r="AJ114" s="615">
        <v>0</v>
      </c>
      <c r="BI114" s="697" t="str">
        <f>TEXT(BI9, "DDD")</f>
        <v>Tue</v>
      </c>
      <c r="BJ114" s="697" t="str">
        <f t="shared" ref="BJ114:BO114" si="131">TEXT(BJ9, "DDD")</f>
        <v>Wed</v>
      </c>
      <c r="BK114" s="697" t="str">
        <f t="shared" si="131"/>
        <v>Thu</v>
      </c>
      <c r="BL114" s="697" t="str">
        <f t="shared" si="131"/>
        <v>Fri</v>
      </c>
      <c r="BM114" s="697" t="str">
        <f t="shared" si="131"/>
        <v>Sat</v>
      </c>
      <c r="BN114" s="697" t="str">
        <f t="shared" si="131"/>
        <v>Sun</v>
      </c>
      <c r="BO114" s="697" t="str">
        <f t="shared" si="131"/>
        <v>Mon</v>
      </c>
      <c r="CA114" s="415" t="s">
        <v>169</v>
      </c>
      <c r="CB114" s="415" t="s">
        <v>166</v>
      </c>
      <c r="CX114" s="153" t="s">
        <v>421</v>
      </c>
      <c r="CY114" s="29">
        <f>IF(WEEKDAY(config!AD11, 2)&lt;=5,1,0)</f>
        <v>1</v>
      </c>
    </row>
    <row r="115" spans="1:107" ht="15" x14ac:dyDescent="0.25">
      <c r="A115" s="440"/>
      <c r="B115" s="660"/>
      <c r="C115" s="661"/>
      <c r="D115" s="661"/>
      <c r="E115" s="661"/>
      <c r="F115" s="661"/>
      <c r="G115" s="661"/>
      <c r="H115" s="661"/>
      <c r="I115" s="661"/>
      <c r="J115" s="661"/>
      <c r="K115" s="661"/>
      <c r="L115" s="661"/>
      <c r="M115" s="661"/>
      <c r="N115" s="662"/>
      <c r="O115" s="661"/>
      <c r="P115" s="661"/>
      <c r="Q115" s="661"/>
      <c r="R115" s="661"/>
      <c r="S115" s="661"/>
      <c r="T115" s="661"/>
      <c r="U115" s="661"/>
      <c r="V115" s="661"/>
      <c r="W115" s="661"/>
      <c r="X115" s="661"/>
      <c r="Y115" s="661"/>
      <c r="Z115" s="661"/>
      <c r="AA115" s="661"/>
      <c r="AB115" s="661"/>
      <c r="AC115" s="663"/>
      <c r="AD115" s="663"/>
      <c r="AE115" s="661"/>
      <c r="AF115" s="663"/>
      <c r="AG115" s="661"/>
      <c r="AH115" s="663"/>
      <c r="AI115" s="661"/>
      <c r="AJ115" s="663"/>
      <c r="AP115" s="106">
        <f>SUM(AP11:AP14)</f>
        <v>0</v>
      </c>
      <c r="AR115" s="56">
        <f>AR11</f>
        <v>0</v>
      </c>
      <c r="AS115" s="107">
        <f>SUM(AS11:AS14)</f>
        <v>0</v>
      </c>
      <c r="AT115" s="108">
        <f>SUM(AT11:AT14)</f>
        <v>1.2857142857142856</v>
      </c>
      <c r="AU115" s="109">
        <f>SUM(AU11:AU14)</f>
        <v>0</v>
      </c>
      <c r="AV115" s="108">
        <f>SUM(AV11:AV14)</f>
        <v>0</v>
      </c>
      <c r="AW115" s="110">
        <f>SUM(AW11:AW14)</f>
        <v>0</v>
      </c>
      <c r="AY115" s="56">
        <f>AY11</f>
        <v>0</v>
      </c>
      <c r="AZ115" s="107">
        <f t="shared" ref="AZ115:BF115" si="132">IF(SUM(AZ11:AZ14)&gt;0, SUM(AZ11:AZ14), NA())</f>
        <v>1</v>
      </c>
      <c r="BA115" s="108" t="e">
        <f t="shared" si="132"/>
        <v>#N/A</v>
      </c>
      <c r="BB115" s="109" t="e">
        <f t="shared" si="132"/>
        <v>#N/A</v>
      </c>
      <c r="BC115" s="108">
        <f t="shared" si="132"/>
        <v>3</v>
      </c>
      <c r="BD115" s="109">
        <f t="shared" si="132"/>
        <v>1</v>
      </c>
      <c r="BE115" s="108">
        <f t="shared" si="132"/>
        <v>4</v>
      </c>
      <c r="BF115" s="110" t="e">
        <f t="shared" si="132"/>
        <v>#N/A</v>
      </c>
      <c r="BH115" s="56">
        <f>BH11</f>
        <v>0</v>
      </c>
      <c r="BI115" s="111">
        <f t="shared" ref="BI115:BO115" si="133">IF(SUM(CM11:CM14)&lt;=0, NA(), SUM(CM11:CM14)/AZ115)</f>
        <v>35.5</v>
      </c>
      <c r="BJ115" s="112" t="e">
        <f t="shared" si="133"/>
        <v>#N/A</v>
      </c>
      <c r="BK115" s="113" t="e">
        <f t="shared" si="133"/>
        <v>#N/A</v>
      </c>
      <c r="BL115" s="112">
        <f t="shared" si="133"/>
        <v>44.433333333333337</v>
      </c>
      <c r="BM115" s="113">
        <f t="shared" si="133"/>
        <v>32</v>
      </c>
      <c r="BN115" s="112">
        <f t="shared" si="133"/>
        <v>46.599999999999994</v>
      </c>
      <c r="BO115" s="114" t="e">
        <f t="shared" si="133"/>
        <v>#N/A</v>
      </c>
      <c r="BQ115" s="56">
        <f>BQ11</f>
        <v>0</v>
      </c>
      <c r="BR115" s="111" t="str">
        <f t="shared" ref="BR115:BX115" si="134">IFERROR(AVERAGE(BR11:BR14), "")</f>
        <v/>
      </c>
      <c r="BS115" s="112" t="str">
        <f t="shared" si="134"/>
        <v/>
      </c>
      <c r="BT115" s="113" t="str">
        <f t="shared" si="134"/>
        <v/>
      </c>
      <c r="BU115" s="112" t="str">
        <f t="shared" si="134"/>
        <v/>
      </c>
      <c r="BV115" s="113" t="str">
        <f t="shared" si="134"/>
        <v/>
      </c>
      <c r="BW115" s="112" t="str">
        <f t="shared" si="134"/>
        <v/>
      </c>
      <c r="BX115" s="114" t="str">
        <f t="shared" si="134"/>
        <v/>
      </c>
      <c r="BZ115" s="66"/>
      <c r="CA115" s="414" t="e">
        <f t="shared" ref="CA115:CA138" si="135">IFERROR(SUM(BR115:BX115) / COUNTIF(BR115:BX115, "&gt;0"), NA())</f>
        <v>#N/A</v>
      </c>
      <c r="CB115" s="153">
        <f>--config!$D$8</f>
        <v>60</v>
      </c>
      <c r="CM115" s="115"/>
      <c r="CN115" s="115"/>
      <c r="CO115" s="115"/>
      <c r="CP115" s="115"/>
      <c r="CQ115" s="115"/>
      <c r="CR115" s="115"/>
      <c r="CS115" s="115"/>
      <c r="CY115" s="111">
        <f>SUM(CY11:CY14)</f>
        <v>0</v>
      </c>
      <c r="CZ115" s="112">
        <f>SUM(CZ11:CZ14)</f>
        <v>0.8</v>
      </c>
      <c r="DA115" s="113">
        <f>SUM(DA11:DA14)</f>
        <v>0</v>
      </c>
      <c r="DB115" s="112">
        <f>SUM(DB11:DB14)</f>
        <v>0</v>
      </c>
      <c r="DC115" s="114">
        <f>SUM(DC11:DC14)</f>
        <v>0</v>
      </c>
    </row>
    <row r="116" spans="1:107" ht="15" x14ac:dyDescent="0.25">
      <c r="A116" s="440"/>
      <c r="B116" s="664"/>
      <c r="C116" s="169"/>
      <c r="D116" s="169"/>
      <c r="E116" s="169"/>
      <c r="F116" s="169"/>
      <c r="G116" s="169"/>
      <c r="H116" s="169"/>
      <c r="I116" s="169"/>
      <c r="J116" s="169"/>
      <c r="K116" s="169"/>
      <c r="L116" s="169"/>
      <c r="M116" s="169"/>
      <c r="N116" s="178"/>
      <c r="O116" s="169"/>
      <c r="P116" s="169"/>
      <c r="Q116" s="169"/>
      <c r="R116" s="169"/>
      <c r="S116" s="169"/>
      <c r="T116" s="169"/>
      <c r="U116" s="169"/>
      <c r="V116" s="169"/>
      <c r="W116" s="169"/>
      <c r="X116" s="169"/>
      <c r="Y116" s="169"/>
      <c r="Z116" s="169"/>
      <c r="AA116" s="169"/>
      <c r="AB116" s="169"/>
      <c r="AC116" s="177"/>
      <c r="AD116" s="177"/>
      <c r="AE116" s="169"/>
      <c r="AF116" s="177"/>
      <c r="AG116" s="169"/>
      <c r="AH116" s="177"/>
      <c r="AI116" s="169"/>
      <c r="AJ116" s="177"/>
      <c r="AP116" s="116">
        <f>SUM(AP15:AP18)</f>
        <v>0</v>
      </c>
      <c r="AR116" s="56">
        <f>AR15</f>
        <v>4.1666666666666664E-2</v>
      </c>
      <c r="AS116" s="117">
        <f>SUM(AS15:AS18)</f>
        <v>0</v>
      </c>
      <c r="AT116" s="116">
        <f>SUM(AT15:AT18)</f>
        <v>0.85714285714285698</v>
      </c>
      <c r="AU116" s="118">
        <f>SUM(AU15:AU18)</f>
        <v>0</v>
      </c>
      <c r="AV116" s="116">
        <f>SUM(AV15:AV18)</f>
        <v>0</v>
      </c>
      <c r="AW116" s="119">
        <f>SUM(AW15:AW18)</f>
        <v>0</v>
      </c>
      <c r="AY116" s="56">
        <f>AY15</f>
        <v>4.1666666666666664E-2</v>
      </c>
      <c r="AZ116" s="117" t="e">
        <f t="shared" ref="AZ116:BF116" si="136">IF(SUM(AZ15:AZ18)&gt;0, SUM(AZ15:AZ18), NA())</f>
        <v>#N/A</v>
      </c>
      <c r="BA116" s="116" t="e">
        <f t="shared" si="136"/>
        <v>#N/A</v>
      </c>
      <c r="BB116" s="118" t="e">
        <f t="shared" si="136"/>
        <v>#N/A</v>
      </c>
      <c r="BC116" s="116">
        <f t="shared" si="136"/>
        <v>1</v>
      </c>
      <c r="BD116" s="118">
        <f t="shared" si="136"/>
        <v>3</v>
      </c>
      <c r="BE116" s="116">
        <f t="shared" si="136"/>
        <v>1</v>
      </c>
      <c r="BF116" s="119">
        <f t="shared" si="136"/>
        <v>1</v>
      </c>
      <c r="BH116" s="56">
        <f>BH15</f>
        <v>4.1666666666666664E-2</v>
      </c>
      <c r="BI116" s="120" t="e">
        <f t="shared" ref="BI116:BO116" si="137">IF(SUM(CM15:CM18)&lt;=0, NA(), SUM(CM15:CM18)/AZ116)</f>
        <v>#N/A</v>
      </c>
      <c r="BJ116" s="121" t="e">
        <f t="shared" si="137"/>
        <v>#N/A</v>
      </c>
      <c r="BK116" s="115" t="e">
        <f t="shared" si="137"/>
        <v>#N/A</v>
      </c>
      <c r="BL116" s="121">
        <f t="shared" si="137"/>
        <v>45.8</v>
      </c>
      <c r="BM116" s="115">
        <f t="shared" si="137"/>
        <v>41.833333333333336</v>
      </c>
      <c r="BN116" s="121">
        <f t="shared" si="137"/>
        <v>40.1</v>
      </c>
      <c r="BO116" s="122">
        <f t="shared" si="137"/>
        <v>42.4</v>
      </c>
      <c r="BQ116" s="56">
        <f>BQ15</f>
        <v>4.1666666666666664E-2</v>
      </c>
      <c r="BR116" s="120" t="str">
        <f t="shared" ref="BR116:BX116" si="138">IFERROR(AVERAGE(BR15:BR18), "")</f>
        <v/>
      </c>
      <c r="BS116" s="121" t="str">
        <f t="shared" si="138"/>
        <v/>
      </c>
      <c r="BT116" s="115" t="str">
        <f t="shared" si="138"/>
        <v/>
      </c>
      <c r="BU116" s="121" t="str">
        <f t="shared" si="138"/>
        <v/>
      </c>
      <c r="BV116" s="115" t="str">
        <f t="shared" si="138"/>
        <v/>
      </c>
      <c r="BW116" s="121" t="str">
        <f t="shared" si="138"/>
        <v/>
      </c>
      <c r="BX116" s="122" t="str">
        <f t="shared" si="138"/>
        <v/>
      </c>
      <c r="BZ116" s="66"/>
      <c r="CA116" s="414" t="e">
        <f t="shared" si="135"/>
        <v>#N/A</v>
      </c>
      <c r="CB116" s="153">
        <f>CB115</f>
        <v>60</v>
      </c>
      <c r="CM116" s="115"/>
      <c r="CN116" s="115"/>
      <c r="CO116" s="115"/>
      <c r="CP116" s="115"/>
      <c r="CQ116" s="115"/>
      <c r="CR116" s="115"/>
      <c r="CS116" s="115"/>
      <c r="CY116" s="120">
        <f>SUM(CY15:CY18)</f>
        <v>0</v>
      </c>
      <c r="CZ116" s="121">
        <f>SUM(CZ15:CZ18)</f>
        <v>0.4</v>
      </c>
      <c r="DA116" s="115">
        <f>SUM(DA15:DA18)</f>
        <v>0</v>
      </c>
      <c r="DB116" s="121">
        <f>SUM(DB15:DB18)</f>
        <v>0</v>
      </c>
      <c r="DC116" s="122">
        <f>SUM(DC15:DC18)</f>
        <v>0</v>
      </c>
    </row>
    <row r="117" spans="1:107" ht="15" x14ac:dyDescent="0.25">
      <c r="A117" s="659">
        <f>A10+1</f>
        <v>43264</v>
      </c>
      <c r="B117" s="664"/>
      <c r="C117" s="169"/>
      <c r="D117" s="169"/>
      <c r="E117" s="169"/>
      <c r="F117" s="169"/>
      <c r="G117" s="169"/>
      <c r="H117" s="169"/>
      <c r="I117" s="169"/>
      <c r="J117" s="169"/>
      <c r="K117" s="169"/>
      <c r="L117" s="169"/>
      <c r="M117" s="169"/>
      <c r="N117" s="178"/>
      <c r="O117" s="169"/>
      <c r="P117" s="169"/>
      <c r="Q117" s="169"/>
      <c r="R117" s="169"/>
      <c r="S117" s="169"/>
      <c r="T117" s="169"/>
      <c r="U117" s="169"/>
      <c r="V117" s="169"/>
      <c r="W117" s="169"/>
      <c r="X117" s="169"/>
      <c r="Y117" s="169"/>
      <c r="Z117" s="169"/>
      <c r="AA117" s="169"/>
      <c r="AB117" s="169"/>
      <c r="AC117" s="177"/>
      <c r="AD117" s="177"/>
      <c r="AE117" s="169"/>
      <c r="AF117" s="177"/>
      <c r="AG117" s="169"/>
      <c r="AH117" s="177"/>
      <c r="AI117" s="169"/>
      <c r="AJ117" s="177"/>
      <c r="AP117" s="116">
        <f>SUM(AP19:AP22)</f>
        <v>0</v>
      </c>
      <c r="AR117" s="56">
        <f>AR19</f>
        <v>8.3333333333333329E-2</v>
      </c>
      <c r="AS117" s="117">
        <f>SUM(AS19:AS22)</f>
        <v>0</v>
      </c>
      <c r="AT117" s="116">
        <f>SUM(AT19:AT22)</f>
        <v>1</v>
      </c>
      <c r="AU117" s="118">
        <f>SUM(AU19:AU22)</f>
        <v>0</v>
      </c>
      <c r="AV117" s="116">
        <f>SUM(AV19:AV22)</f>
        <v>0</v>
      </c>
      <c r="AW117" s="119">
        <f>SUM(AW19:AW22)</f>
        <v>0</v>
      </c>
      <c r="AY117" s="56">
        <f>AY19</f>
        <v>8.3333333333333329E-2</v>
      </c>
      <c r="AZ117" s="117" t="e">
        <f t="shared" ref="AZ117:BF117" si="139">IF(SUM(AZ19:AZ22)&gt;0, SUM(AZ19:AZ22), NA())</f>
        <v>#N/A</v>
      </c>
      <c r="BA117" s="116" t="e">
        <f t="shared" si="139"/>
        <v>#N/A</v>
      </c>
      <c r="BB117" s="118">
        <f t="shared" si="139"/>
        <v>2</v>
      </c>
      <c r="BC117" s="116" t="e">
        <f t="shared" si="139"/>
        <v>#N/A</v>
      </c>
      <c r="BD117" s="118">
        <f t="shared" si="139"/>
        <v>2</v>
      </c>
      <c r="BE117" s="116">
        <f t="shared" si="139"/>
        <v>3</v>
      </c>
      <c r="BF117" s="119" t="e">
        <f t="shared" si="139"/>
        <v>#N/A</v>
      </c>
      <c r="BH117" s="56">
        <f>BH19</f>
        <v>8.3333333333333329E-2</v>
      </c>
      <c r="BI117" s="120" t="e">
        <f t="shared" ref="BI117:BO117" si="140">IF(SUM(CM19:CM22)&lt;=0, NA(), SUM(CM19:CM22)/AZ117)</f>
        <v>#N/A</v>
      </c>
      <c r="BJ117" s="121" t="e">
        <f t="shared" si="140"/>
        <v>#N/A</v>
      </c>
      <c r="BK117" s="115">
        <f t="shared" si="140"/>
        <v>37.4</v>
      </c>
      <c r="BL117" s="121" t="e">
        <f t="shared" si="140"/>
        <v>#N/A</v>
      </c>
      <c r="BM117" s="115">
        <f t="shared" si="140"/>
        <v>48.2</v>
      </c>
      <c r="BN117" s="121">
        <f t="shared" si="140"/>
        <v>22.033333333333335</v>
      </c>
      <c r="BO117" s="122" t="e">
        <f t="shared" si="140"/>
        <v>#N/A</v>
      </c>
      <c r="BQ117" s="56">
        <f>BQ19</f>
        <v>8.3333333333333329E-2</v>
      </c>
      <c r="BR117" s="120" t="str">
        <f t="shared" ref="BR117:BX117" si="141">IFERROR(AVERAGE(BR19:BR22), "")</f>
        <v/>
      </c>
      <c r="BS117" s="121" t="str">
        <f t="shared" si="141"/>
        <v/>
      </c>
      <c r="BT117" s="115" t="str">
        <f t="shared" si="141"/>
        <v/>
      </c>
      <c r="BU117" s="121" t="str">
        <f t="shared" si="141"/>
        <v/>
      </c>
      <c r="BV117" s="115" t="str">
        <f t="shared" si="141"/>
        <v/>
      </c>
      <c r="BW117" s="121" t="str">
        <f t="shared" si="141"/>
        <v/>
      </c>
      <c r="BX117" s="122" t="str">
        <f t="shared" si="141"/>
        <v/>
      </c>
      <c r="BZ117" s="66"/>
      <c r="CA117" s="414" t="e">
        <f t="shared" si="135"/>
        <v>#N/A</v>
      </c>
      <c r="CB117" s="153">
        <f t="shared" ref="CB117:CB138" si="142">CB116</f>
        <v>60</v>
      </c>
      <c r="CM117" s="115"/>
      <c r="CN117" s="115"/>
      <c r="CO117" s="115"/>
      <c r="CP117" s="115"/>
      <c r="CQ117" s="115"/>
      <c r="CR117" s="115"/>
      <c r="CS117" s="115"/>
      <c r="CY117" s="120">
        <f>SUM(CY19:CY22)</f>
        <v>0</v>
      </c>
      <c r="CZ117" s="121">
        <f>SUM(CZ19:CZ22)</f>
        <v>0.4</v>
      </c>
      <c r="DA117" s="115">
        <f>SUM(DA19:DA22)</f>
        <v>0</v>
      </c>
      <c r="DB117" s="121">
        <f>SUM(DB19:DB22)</f>
        <v>0</v>
      </c>
      <c r="DC117" s="122">
        <f>SUM(DC19:DC22)</f>
        <v>0</v>
      </c>
    </row>
    <row r="118" spans="1:107" ht="15" x14ac:dyDescent="0.25">
      <c r="A118" s="440"/>
      <c r="B118" s="665"/>
      <c r="C118" s="666"/>
      <c r="D118" s="666"/>
      <c r="E118" s="666"/>
      <c r="F118" s="666"/>
      <c r="G118" s="666"/>
      <c r="H118" s="666"/>
      <c r="I118" s="666"/>
      <c r="J118" s="666"/>
      <c r="K118" s="666"/>
      <c r="L118" s="666"/>
      <c r="M118" s="666"/>
      <c r="N118" s="667"/>
      <c r="O118" s="666"/>
      <c r="P118" s="666"/>
      <c r="Q118" s="666"/>
      <c r="R118" s="666"/>
      <c r="S118" s="666"/>
      <c r="T118" s="666"/>
      <c r="U118" s="666"/>
      <c r="V118" s="666"/>
      <c r="W118" s="666"/>
      <c r="X118" s="666"/>
      <c r="Y118" s="666"/>
      <c r="Z118" s="666"/>
      <c r="AA118" s="666"/>
      <c r="AB118" s="666"/>
      <c r="AC118" s="668"/>
      <c r="AD118" s="668"/>
      <c r="AE118" s="666"/>
      <c r="AF118" s="668"/>
      <c r="AG118" s="666"/>
      <c r="AH118" s="668"/>
      <c r="AI118" s="666"/>
      <c r="AJ118" s="668"/>
      <c r="AP118" s="116">
        <f>SUM(AP23:AP26)</f>
        <v>2</v>
      </c>
      <c r="AR118" s="56">
        <f>AR23</f>
        <v>0.125</v>
      </c>
      <c r="AS118" s="117">
        <f>SUM(AS23:AS26)</f>
        <v>0</v>
      </c>
      <c r="AT118" s="116">
        <f>SUM(AT23:AT26)</f>
        <v>1.1428571428571428</v>
      </c>
      <c r="AU118" s="118">
        <f>SUM(AU23:AU26)</f>
        <v>0.42857142857142855</v>
      </c>
      <c r="AV118" s="116">
        <f>SUM(AV23:AV26)</f>
        <v>0</v>
      </c>
      <c r="AW118" s="119">
        <f>SUM(AW23:AW26)</f>
        <v>0</v>
      </c>
      <c r="AY118" s="56">
        <f>AY23</f>
        <v>0.125</v>
      </c>
      <c r="AZ118" s="117" t="e">
        <f t="shared" ref="AZ118:BF118" si="143">IF(SUM(AZ23:AZ26)&gt;0, SUM(AZ23:AZ26), NA())</f>
        <v>#N/A</v>
      </c>
      <c r="BA118" s="116">
        <f t="shared" si="143"/>
        <v>3</v>
      </c>
      <c r="BB118" s="118">
        <f t="shared" si="143"/>
        <v>1</v>
      </c>
      <c r="BC118" s="116">
        <f t="shared" si="143"/>
        <v>4</v>
      </c>
      <c r="BD118" s="118">
        <f t="shared" si="143"/>
        <v>1</v>
      </c>
      <c r="BE118" s="116" t="e">
        <f t="shared" si="143"/>
        <v>#N/A</v>
      </c>
      <c r="BF118" s="119">
        <f t="shared" si="143"/>
        <v>2</v>
      </c>
      <c r="BH118" s="56">
        <f>BH23</f>
        <v>0.125</v>
      </c>
      <c r="BI118" s="120" t="e">
        <f t="shared" ref="BI118:BO118" si="144">IF(SUM(CM23:CM26)&lt;=0, NA(), SUM(CM23:CM26)/AZ118)</f>
        <v>#N/A</v>
      </c>
      <c r="BJ118" s="121">
        <f t="shared" si="144"/>
        <v>40.199999999999996</v>
      </c>
      <c r="BK118" s="115">
        <f t="shared" si="144"/>
        <v>44.6</v>
      </c>
      <c r="BL118" s="121">
        <f t="shared" si="144"/>
        <v>45.125</v>
      </c>
      <c r="BM118" s="115">
        <f t="shared" si="144"/>
        <v>40.5</v>
      </c>
      <c r="BN118" s="121" t="e">
        <f t="shared" si="144"/>
        <v>#N/A</v>
      </c>
      <c r="BO118" s="122">
        <f t="shared" si="144"/>
        <v>44</v>
      </c>
      <c r="BQ118" s="56">
        <f>BQ23</f>
        <v>0.125</v>
      </c>
      <c r="BR118" s="120" t="str">
        <f t="shared" ref="BR118:BX118" si="145">IFERROR(AVERAGE(BR23:BR26), "")</f>
        <v/>
      </c>
      <c r="BS118" s="121" t="str">
        <f t="shared" si="145"/>
        <v/>
      </c>
      <c r="BT118" s="115" t="str">
        <f t="shared" si="145"/>
        <v/>
      </c>
      <c r="BU118" s="121" t="str">
        <f t="shared" si="145"/>
        <v/>
      </c>
      <c r="BV118" s="115" t="str">
        <f t="shared" si="145"/>
        <v/>
      </c>
      <c r="BW118" s="121" t="str">
        <f t="shared" si="145"/>
        <v/>
      </c>
      <c r="BX118" s="122" t="str">
        <f t="shared" si="145"/>
        <v/>
      </c>
      <c r="BZ118" s="66"/>
      <c r="CA118" s="414" t="e">
        <f t="shared" si="135"/>
        <v>#N/A</v>
      </c>
      <c r="CB118" s="153">
        <f t="shared" si="142"/>
        <v>60</v>
      </c>
      <c r="CM118" s="115"/>
      <c r="CN118" s="115"/>
      <c r="CO118" s="115"/>
      <c r="CP118" s="115"/>
      <c r="CQ118" s="115"/>
      <c r="CR118" s="115"/>
      <c r="CS118" s="115"/>
      <c r="CY118" s="120">
        <f>SUM(CY23:CY26)</f>
        <v>0</v>
      </c>
      <c r="CZ118" s="121">
        <f>SUM(CZ23:CZ26)</f>
        <v>1.4</v>
      </c>
      <c r="DA118" s="115">
        <f>SUM(DA23:DA26)</f>
        <v>0.6</v>
      </c>
      <c r="DB118" s="121">
        <f>SUM(DB23:DB26)</f>
        <v>0</v>
      </c>
      <c r="DC118" s="122">
        <f>SUM(DC23:DC26)</f>
        <v>0</v>
      </c>
    </row>
    <row r="119" spans="1:107" ht="15" x14ac:dyDescent="0.25">
      <c r="A119" s="566" t="s">
        <v>251</v>
      </c>
      <c r="B119" s="576" t="s">
        <v>0</v>
      </c>
      <c r="C119" s="577" t="s">
        <v>442</v>
      </c>
      <c r="D119" s="577" t="s">
        <v>215</v>
      </c>
      <c r="E119" s="577" t="s">
        <v>443</v>
      </c>
      <c r="F119" s="577" t="s">
        <v>444</v>
      </c>
      <c r="G119" s="577" t="s">
        <v>445</v>
      </c>
      <c r="H119" s="577" t="s">
        <v>446</v>
      </c>
      <c r="I119" s="577" t="s">
        <v>447</v>
      </c>
      <c r="J119" s="577" t="s">
        <v>448</v>
      </c>
      <c r="K119" s="577" t="s">
        <v>449</v>
      </c>
      <c r="L119" s="577" t="s">
        <v>450</v>
      </c>
      <c r="M119" s="577"/>
      <c r="N119" s="587" t="s">
        <v>11</v>
      </c>
      <c r="O119" s="577" t="s">
        <v>268</v>
      </c>
      <c r="P119" s="577" t="s">
        <v>269</v>
      </c>
      <c r="Q119" s="577" t="s">
        <v>270</v>
      </c>
      <c r="R119" s="577" t="s">
        <v>271</v>
      </c>
      <c r="S119" s="577" t="s">
        <v>272</v>
      </c>
      <c r="T119" s="577" t="s">
        <v>273</v>
      </c>
      <c r="U119" s="577" t="s">
        <v>274</v>
      </c>
      <c r="V119" s="577" t="s">
        <v>275</v>
      </c>
      <c r="W119" s="577" t="s">
        <v>276</v>
      </c>
      <c r="X119" s="577" t="s">
        <v>277</v>
      </c>
      <c r="Y119" s="577" t="s">
        <v>278</v>
      </c>
      <c r="Z119" s="577" t="s">
        <v>279</v>
      </c>
      <c r="AA119" s="577" t="s">
        <v>280</v>
      </c>
      <c r="AB119" s="577" t="s">
        <v>281</v>
      </c>
      <c r="AC119" s="629" t="s">
        <v>258</v>
      </c>
      <c r="AD119" s="629" t="s">
        <v>13</v>
      </c>
      <c r="AE119" s="577" t="s">
        <v>166</v>
      </c>
      <c r="AF119" s="629" t="s">
        <v>259</v>
      </c>
      <c r="AG119" s="630" t="s">
        <v>260</v>
      </c>
      <c r="AH119" s="631" t="s">
        <v>261</v>
      </c>
      <c r="AI119" s="630" t="s">
        <v>262</v>
      </c>
      <c r="AJ119" s="632" t="s">
        <v>263</v>
      </c>
      <c r="AP119" s="116">
        <f>SUM(AP27:AP30)</f>
        <v>2</v>
      </c>
      <c r="AR119" s="56">
        <f>AR27</f>
        <v>0.16666666666666663</v>
      </c>
      <c r="AS119" s="117">
        <f>SUM(AS27:AS30)</f>
        <v>0</v>
      </c>
      <c r="AT119" s="116">
        <f>SUM(AT27:AT30)</f>
        <v>0.8571428571428571</v>
      </c>
      <c r="AU119" s="118">
        <f>SUM(AU27:AU30)</f>
        <v>0.2857142857142857</v>
      </c>
      <c r="AV119" s="116">
        <f>SUM(AV27:AV30)</f>
        <v>0</v>
      </c>
      <c r="AW119" s="119">
        <f>SUM(AW27:AW30)</f>
        <v>0</v>
      </c>
      <c r="AY119" s="56">
        <f>AY27</f>
        <v>0.16666666666666663</v>
      </c>
      <c r="AZ119" s="117" t="e">
        <f t="shared" ref="AZ119:BF119" si="146">IF(SUM(AZ27:AZ30)&gt;0, SUM(AZ27:AZ30), NA())</f>
        <v>#N/A</v>
      </c>
      <c r="BA119" s="116">
        <f t="shared" si="146"/>
        <v>1</v>
      </c>
      <c r="BB119" s="118">
        <f t="shared" si="146"/>
        <v>1</v>
      </c>
      <c r="BC119" s="116">
        <f t="shared" si="146"/>
        <v>2</v>
      </c>
      <c r="BD119" s="118">
        <f t="shared" si="146"/>
        <v>1</v>
      </c>
      <c r="BE119" s="116">
        <f t="shared" si="146"/>
        <v>2</v>
      </c>
      <c r="BF119" s="119">
        <f t="shared" si="146"/>
        <v>1</v>
      </c>
      <c r="BH119" s="56">
        <f>BH27</f>
        <v>0.16666666666666663</v>
      </c>
      <c r="BI119" s="120" t="e">
        <f t="shared" ref="BI119:BO119" si="147">IF(SUM(CM27:CM30)&lt;=0, NA(), SUM(CM27:CM30)/AZ119)</f>
        <v>#N/A</v>
      </c>
      <c r="BJ119" s="121">
        <f t="shared" si="147"/>
        <v>42</v>
      </c>
      <c r="BK119" s="115">
        <f t="shared" si="147"/>
        <v>42.6</v>
      </c>
      <c r="BL119" s="121">
        <f t="shared" si="147"/>
        <v>49.2</v>
      </c>
      <c r="BM119" s="115">
        <f t="shared" si="147"/>
        <v>37.200000000000003</v>
      </c>
      <c r="BN119" s="121">
        <f t="shared" si="147"/>
        <v>46</v>
      </c>
      <c r="BO119" s="122">
        <f t="shared" si="147"/>
        <v>49.2</v>
      </c>
      <c r="BQ119" s="56">
        <f>BQ27</f>
        <v>0.16666666666666663</v>
      </c>
      <c r="BR119" s="120" t="str">
        <f t="shared" ref="BR119:BX119" si="148">IFERROR(AVERAGE(BR27:BR30), "")</f>
        <v/>
      </c>
      <c r="BS119" s="121" t="str">
        <f t="shared" si="148"/>
        <v/>
      </c>
      <c r="BT119" s="115" t="str">
        <f t="shared" si="148"/>
        <v/>
      </c>
      <c r="BU119" s="121" t="str">
        <f t="shared" si="148"/>
        <v/>
      </c>
      <c r="BV119" s="115" t="str">
        <f t="shared" si="148"/>
        <v/>
      </c>
      <c r="BW119" s="121" t="str">
        <f t="shared" si="148"/>
        <v/>
      </c>
      <c r="BX119" s="122" t="str">
        <f t="shared" si="148"/>
        <v/>
      </c>
      <c r="BZ119" s="66"/>
      <c r="CA119" s="414" t="e">
        <f t="shared" si="135"/>
        <v>#N/A</v>
      </c>
      <c r="CB119" s="153">
        <f t="shared" si="142"/>
        <v>60</v>
      </c>
      <c r="CM119" s="115"/>
      <c r="CN119" s="115"/>
      <c r="CO119" s="115"/>
      <c r="CP119" s="115"/>
      <c r="CQ119" s="115"/>
      <c r="CR119" s="115"/>
      <c r="CS119" s="115"/>
      <c r="CY119" s="120">
        <f>SUM(CY27:CY30)</f>
        <v>0</v>
      </c>
      <c r="CZ119" s="121">
        <f>SUM(CZ27:CZ30)</f>
        <v>0.6</v>
      </c>
      <c r="DA119" s="115">
        <f>SUM(DA27:DA30)</f>
        <v>0.4</v>
      </c>
      <c r="DB119" s="121">
        <f>SUM(DB27:DB30)</f>
        <v>0</v>
      </c>
      <c r="DC119" s="122">
        <f>SUM(DC27:DC30)</f>
        <v>0</v>
      </c>
    </row>
    <row r="120" spans="1:107" ht="15" x14ac:dyDescent="0.25">
      <c r="A120" s="440" t="s">
        <v>24</v>
      </c>
      <c r="B120" s="579" t="s">
        <v>24</v>
      </c>
      <c r="C120" s="443" t="s">
        <v>25</v>
      </c>
      <c r="D120" s="443" t="s">
        <v>26</v>
      </c>
      <c r="E120" s="443" t="s">
        <v>27</v>
      </c>
      <c r="F120" s="443" t="s">
        <v>28</v>
      </c>
      <c r="G120" s="443" t="s">
        <v>29</v>
      </c>
      <c r="H120" s="443" t="s">
        <v>30</v>
      </c>
      <c r="I120" s="443" t="s">
        <v>31</v>
      </c>
      <c r="J120" s="443" t="s">
        <v>32</v>
      </c>
      <c r="K120" s="443" t="s">
        <v>33</v>
      </c>
      <c r="L120" s="443" t="s">
        <v>34</v>
      </c>
      <c r="M120" s="443" t="s">
        <v>24</v>
      </c>
      <c r="N120" s="588" t="s">
        <v>24</v>
      </c>
      <c r="O120" s="443" t="s">
        <v>451</v>
      </c>
      <c r="P120" s="443" t="s">
        <v>34</v>
      </c>
      <c r="Q120" s="443" t="s">
        <v>452</v>
      </c>
      <c r="R120" s="443" t="s">
        <v>453</v>
      </c>
      <c r="S120" s="443" t="s">
        <v>454</v>
      </c>
      <c r="T120" s="443" t="s">
        <v>455</v>
      </c>
      <c r="U120" s="443" t="s">
        <v>456</v>
      </c>
      <c r="V120" s="443" t="s">
        <v>457</v>
      </c>
      <c r="W120" s="443" t="s">
        <v>458</v>
      </c>
      <c r="X120" s="443" t="s">
        <v>459</v>
      </c>
      <c r="Y120" s="443" t="s">
        <v>460</v>
      </c>
      <c r="Z120" s="443" t="s">
        <v>461</v>
      </c>
      <c r="AA120" s="443" t="s">
        <v>462</v>
      </c>
      <c r="AB120" s="443" t="s">
        <v>463</v>
      </c>
      <c r="AC120" s="444"/>
      <c r="AD120" s="444">
        <v>0</v>
      </c>
      <c r="AE120" s="443">
        <v>60</v>
      </c>
      <c r="AF120" s="443">
        <v>60</v>
      </c>
      <c r="AG120" s="445">
        <v>65</v>
      </c>
      <c r="AH120" s="445">
        <v>65</v>
      </c>
      <c r="AI120" s="445">
        <v>75</v>
      </c>
      <c r="AJ120" s="633">
        <v>75</v>
      </c>
      <c r="AP120" s="116">
        <f>SUM(AP31:AP34)</f>
        <v>3</v>
      </c>
      <c r="AR120" s="56">
        <f>AR31</f>
        <v>0.20833333333333326</v>
      </c>
      <c r="AS120" s="117">
        <f>SUM(AS31:AS34)</f>
        <v>0</v>
      </c>
      <c r="AT120" s="116">
        <f>SUM(AT31:AT34)</f>
        <v>9.1428571428571423</v>
      </c>
      <c r="AU120" s="118">
        <f>SUM(AU31:AU34)</f>
        <v>0.42857142857142855</v>
      </c>
      <c r="AV120" s="116">
        <f>SUM(AV31:AV34)</f>
        <v>0</v>
      </c>
      <c r="AW120" s="119">
        <f>SUM(AW31:AW34)</f>
        <v>0</v>
      </c>
      <c r="AY120" s="56">
        <f>AY31</f>
        <v>0.20833333333333326</v>
      </c>
      <c r="AZ120" s="117">
        <f t="shared" ref="AZ120:BF120" si="149">IF(SUM(AZ31:AZ34)&gt;0, SUM(AZ31:AZ34), NA())</f>
        <v>12</v>
      </c>
      <c r="BA120" s="116">
        <f t="shared" si="149"/>
        <v>13</v>
      </c>
      <c r="BB120" s="118">
        <f t="shared" si="149"/>
        <v>11</v>
      </c>
      <c r="BC120" s="116">
        <f t="shared" si="149"/>
        <v>12</v>
      </c>
      <c r="BD120" s="118">
        <f t="shared" si="149"/>
        <v>4</v>
      </c>
      <c r="BE120" s="116">
        <f t="shared" si="149"/>
        <v>6</v>
      </c>
      <c r="BF120" s="119">
        <f t="shared" si="149"/>
        <v>9</v>
      </c>
      <c r="BH120" s="56">
        <f>BH31</f>
        <v>0.20833333333333326</v>
      </c>
      <c r="BI120" s="120">
        <f t="shared" ref="BI120:BO120" si="150">IF(SUM(CM31:CM34)&lt;=0, NA(), SUM(CM31:CM34)/AZ120)</f>
        <v>47.800000000000004</v>
      </c>
      <c r="BJ120" s="121">
        <f t="shared" si="150"/>
        <v>51.03846153846154</v>
      </c>
      <c r="BK120" s="115">
        <f t="shared" si="150"/>
        <v>48.654545454545456</v>
      </c>
      <c r="BL120" s="121">
        <f t="shared" si="150"/>
        <v>45.683333333333337</v>
      </c>
      <c r="BM120" s="115">
        <f t="shared" si="150"/>
        <v>42.974999999999994</v>
      </c>
      <c r="BN120" s="121">
        <f t="shared" si="150"/>
        <v>41.883333333333333</v>
      </c>
      <c r="BO120" s="122">
        <f t="shared" si="150"/>
        <v>45.31111111111111</v>
      </c>
      <c r="BQ120" s="56">
        <f>BQ31</f>
        <v>0.20833333333333326</v>
      </c>
      <c r="BR120" s="120" t="str">
        <f t="shared" ref="BR120:BX120" si="151">IFERROR(AVERAGE(BR31:BR34), "")</f>
        <v/>
      </c>
      <c r="BS120" s="121" t="str">
        <f t="shared" si="151"/>
        <v/>
      </c>
      <c r="BT120" s="115" t="str">
        <f t="shared" si="151"/>
        <v/>
      </c>
      <c r="BU120" s="121" t="str">
        <f t="shared" si="151"/>
        <v/>
      </c>
      <c r="BV120" s="115" t="str">
        <f t="shared" si="151"/>
        <v/>
      </c>
      <c r="BW120" s="121" t="str">
        <f t="shared" si="151"/>
        <v/>
      </c>
      <c r="BX120" s="122" t="str">
        <f t="shared" si="151"/>
        <v/>
      </c>
      <c r="BZ120" s="66"/>
      <c r="CA120" s="414" t="e">
        <f t="shared" si="135"/>
        <v>#N/A</v>
      </c>
      <c r="CB120" s="153">
        <f t="shared" si="142"/>
        <v>60</v>
      </c>
      <c r="CM120" s="115"/>
      <c r="CN120" s="115"/>
      <c r="CO120" s="115"/>
      <c r="CP120" s="115"/>
      <c r="CQ120" s="115"/>
      <c r="CR120" s="115"/>
      <c r="CS120" s="115"/>
      <c r="CY120" s="120">
        <f>SUM(CY31:CY34)</f>
        <v>0</v>
      </c>
      <c r="CZ120" s="121">
        <f>SUM(CZ31:CZ34)</f>
        <v>10.799999999999999</v>
      </c>
      <c r="DA120" s="115">
        <f>SUM(DA31:DA34)</f>
        <v>0.60000000000000009</v>
      </c>
      <c r="DB120" s="121">
        <f>SUM(DB31:DB34)</f>
        <v>0</v>
      </c>
      <c r="DC120" s="122">
        <f>SUM(DC31:DC34)</f>
        <v>0</v>
      </c>
    </row>
    <row r="121" spans="1:107" ht="15.75" thickBot="1" x14ac:dyDescent="0.3">
      <c r="A121" s="440" t="s">
        <v>24</v>
      </c>
      <c r="B121" s="579" t="s">
        <v>24</v>
      </c>
      <c r="C121" s="582" t="s">
        <v>24</v>
      </c>
      <c r="D121" s="582" t="s">
        <v>24</v>
      </c>
      <c r="E121" s="582" t="s">
        <v>24</v>
      </c>
      <c r="F121" s="582" t="s">
        <v>24</v>
      </c>
      <c r="G121" s="582" t="s">
        <v>24</v>
      </c>
      <c r="H121" s="582" t="s">
        <v>24</v>
      </c>
      <c r="I121" s="582" t="s">
        <v>24</v>
      </c>
      <c r="J121" s="582" t="s">
        <v>24</v>
      </c>
      <c r="K121" s="582" t="s">
        <v>24</v>
      </c>
      <c r="L121" s="582" t="s">
        <v>24</v>
      </c>
      <c r="M121" s="582" t="s">
        <v>24</v>
      </c>
      <c r="N121" s="589" t="s">
        <v>24</v>
      </c>
      <c r="O121" s="582" t="s">
        <v>34</v>
      </c>
      <c r="P121" s="582" t="s">
        <v>452</v>
      </c>
      <c r="Q121" s="582" t="s">
        <v>453</v>
      </c>
      <c r="R121" s="582" t="s">
        <v>454</v>
      </c>
      <c r="S121" s="582" t="s">
        <v>455</v>
      </c>
      <c r="T121" s="582" t="s">
        <v>456</v>
      </c>
      <c r="U121" s="582" t="s">
        <v>457</v>
      </c>
      <c r="V121" s="582" t="s">
        <v>458</v>
      </c>
      <c r="W121" s="582" t="s">
        <v>459</v>
      </c>
      <c r="X121" s="582" t="s">
        <v>460</v>
      </c>
      <c r="Y121" s="582" t="s">
        <v>461</v>
      </c>
      <c r="Z121" s="582" t="s">
        <v>462</v>
      </c>
      <c r="AA121" s="582" t="s">
        <v>463</v>
      </c>
      <c r="AB121" s="582" t="s">
        <v>464</v>
      </c>
      <c r="AC121" s="634"/>
      <c r="AD121" s="634"/>
      <c r="AE121" s="582"/>
      <c r="AF121" s="634"/>
      <c r="AG121" s="635" t="s">
        <v>35</v>
      </c>
      <c r="AH121" s="636" t="s">
        <v>35</v>
      </c>
      <c r="AI121" s="635" t="s">
        <v>36</v>
      </c>
      <c r="AJ121" s="637" t="s">
        <v>36</v>
      </c>
      <c r="AP121" s="116">
        <f>SUM(AP35:AP38)</f>
        <v>5</v>
      </c>
      <c r="AR121" s="56">
        <f>AR35</f>
        <v>0.24999999999999989</v>
      </c>
      <c r="AS121" s="117">
        <f>SUM(AS35:AS38)</f>
        <v>0.2857142857142857</v>
      </c>
      <c r="AT121" s="116">
        <f>SUM(AT35:AT38)</f>
        <v>22.285714285714285</v>
      </c>
      <c r="AU121" s="118">
        <f>SUM(AU35:AU38)</f>
        <v>0.71428571428571419</v>
      </c>
      <c r="AV121" s="116">
        <f>SUM(AV35:AV38)</f>
        <v>0</v>
      </c>
      <c r="AW121" s="119">
        <f>SUM(AW35:AW38)</f>
        <v>0</v>
      </c>
      <c r="AY121" s="56">
        <f>AY35</f>
        <v>0.24999999999999989</v>
      </c>
      <c r="AZ121" s="117">
        <f t="shared" ref="AZ121:BF121" si="152">IF(SUM(AZ35:AZ38)&gt;0, SUM(AZ35:AZ38), NA())</f>
        <v>25</v>
      </c>
      <c r="BA121" s="116">
        <f t="shared" si="152"/>
        <v>33</v>
      </c>
      <c r="BB121" s="118">
        <f t="shared" si="152"/>
        <v>36</v>
      </c>
      <c r="BC121" s="116">
        <f t="shared" si="152"/>
        <v>28</v>
      </c>
      <c r="BD121" s="118">
        <f t="shared" si="152"/>
        <v>10</v>
      </c>
      <c r="BE121" s="116">
        <f t="shared" si="152"/>
        <v>4</v>
      </c>
      <c r="BF121" s="119">
        <f t="shared" si="152"/>
        <v>27</v>
      </c>
      <c r="BH121" s="56">
        <f>BH35</f>
        <v>0.24999999999999989</v>
      </c>
      <c r="BI121" s="120">
        <f t="shared" ref="BI121:BO121" si="153">IF(SUM(CM35:CM38)&lt;=0, NA(), SUM(CM35:CM38)/AZ121)</f>
        <v>45.231999999999999</v>
      </c>
      <c r="BJ121" s="121">
        <f t="shared" si="153"/>
        <v>44.38484848484849</v>
      </c>
      <c r="BK121" s="115">
        <f t="shared" si="153"/>
        <v>42.666666666666664</v>
      </c>
      <c r="BL121" s="121">
        <f t="shared" si="153"/>
        <v>43.342857142857142</v>
      </c>
      <c r="BM121" s="115">
        <f t="shared" si="153"/>
        <v>43.919999999999995</v>
      </c>
      <c r="BN121" s="121">
        <f t="shared" si="153"/>
        <v>43.25</v>
      </c>
      <c r="BO121" s="122">
        <f t="shared" si="153"/>
        <v>44.066666666666663</v>
      </c>
      <c r="BQ121" s="56">
        <f>BQ35</f>
        <v>0.24999999999999989</v>
      </c>
      <c r="BR121" s="120" t="str">
        <f t="shared" ref="BR121:BX121" si="154">IFERROR(AVERAGE(BR35:BR38), "")</f>
        <v/>
      </c>
      <c r="BS121" s="121">
        <f t="shared" si="154"/>
        <v>50</v>
      </c>
      <c r="BT121" s="115">
        <f t="shared" si="154"/>
        <v>48.3</v>
      </c>
      <c r="BU121" s="121">
        <f t="shared" si="154"/>
        <v>52</v>
      </c>
      <c r="BV121" s="115" t="str">
        <f t="shared" si="154"/>
        <v/>
      </c>
      <c r="BW121" s="121" t="str">
        <f t="shared" si="154"/>
        <v/>
      </c>
      <c r="BX121" s="122" t="str">
        <f t="shared" si="154"/>
        <v/>
      </c>
      <c r="BZ121" s="66"/>
      <c r="CA121" s="414">
        <f t="shared" si="135"/>
        <v>50.1</v>
      </c>
      <c r="CB121" s="153">
        <f t="shared" si="142"/>
        <v>60</v>
      </c>
      <c r="CM121" s="115"/>
      <c r="CN121" s="115"/>
      <c r="CO121" s="115"/>
      <c r="CP121" s="115"/>
      <c r="CQ121" s="115"/>
      <c r="CR121" s="115"/>
      <c r="CS121" s="115"/>
      <c r="CY121" s="120">
        <f>SUM(CY35:CY38)</f>
        <v>0.4</v>
      </c>
      <c r="CZ121" s="121">
        <f>SUM(CZ35:CZ38)</f>
        <v>28.400000000000002</v>
      </c>
      <c r="DA121" s="115">
        <f>SUM(DA35:DA38)</f>
        <v>1</v>
      </c>
      <c r="DB121" s="121">
        <f>SUM(DB35:DB38)</f>
        <v>0</v>
      </c>
      <c r="DC121" s="122">
        <f>SUM(DC35:DC38)</f>
        <v>0</v>
      </c>
    </row>
    <row r="122" spans="1:107" ht="15.75" thickBot="1" x14ac:dyDescent="0.3">
      <c r="A122" s="440" t="s">
        <v>37</v>
      </c>
      <c r="B122" s="691">
        <v>0</v>
      </c>
      <c r="C122" s="567">
        <v>0</v>
      </c>
      <c r="D122" s="186">
        <v>0</v>
      </c>
      <c r="E122" s="186">
        <v>0</v>
      </c>
      <c r="F122" s="186">
        <v>0</v>
      </c>
      <c r="G122" s="186">
        <v>0</v>
      </c>
      <c r="H122" s="186">
        <v>0</v>
      </c>
      <c r="I122" s="186">
        <v>0</v>
      </c>
      <c r="J122" s="186">
        <v>0</v>
      </c>
      <c r="K122" s="186">
        <v>0</v>
      </c>
      <c r="L122" s="186">
        <v>0</v>
      </c>
      <c r="M122" s="656" t="s">
        <v>24</v>
      </c>
      <c r="N122" s="670" t="s">
        <v>37</v>
      </c>
      <c r="O122" s="646">
        <v>0</v>
      </c>
      <c r="P122" s="186">
        <v>0</v>
      </c>
      <c r="Q122" s="186">
        <v>0</v>
      </c>
      <c r="R122" s="186">
        <v>0</v>
      </c>
      <c r="S122" s="186">
        <v>0</v>
      </c>
      <c r="T122" s="186">
        <v>0</v>
      </c>
      <c r="U122" s="186">
        <v>0</v>
      </c>
      <c r="V122" s="186">
        <v>0</v>
      </c>
      <c r="W122" s="186">
        <v>0</v>
      </c>
      <c r="X122" s="186">
        <v>0</v>
      </c>
      <c r="Y122" s="186">
        <v>0</v>
      </c>
      <c r="Z122" s="186">
        <v>0</v>
      </c>
      <c r="AA122" s="186">
        <v>0</v>
      </c>
      <c r="AB122" s="186">
        <v>0</v>
      </c>
      <c r="AC122" s="187" t="s">
        <v>24</v>
      </c>
      <c r="AD122" s="187" t="s">
        <v>24</v>
      </c>
      <c r="AE122" s="186">
        <v>0</v>
      </c>
      <c r="AF122" s="187">
        <v>0</v>
      </c>
      <c r="AG122" s="186">
        <v>0</v>
      </c>
      <c r="AH122" s="187">
        <v>0</v>
      </c>
      <c r="AI122" s="186">
        <v>0</v>
      </c>
      <c r="AJ122" s="647">
        <v>0</v>
      </c>
      <c r="AP122" s="116">
        <f>SUM(AP39:AP42)</f>
        <v>32</v>
      </c>
      <c r="AR122" s="56">
        <f>AR39</f>
        <v>0.29166666666666663</v>
      </c>
      <c r="AS122" s="123">
        <f>SUM(AS39:AS42)</f>
        <v>0.85714285714285721</v>
      </c>
      <c r="AT122" s="106">
        <f>SUM(AT39:AT42)</f>
        <v>53.714285714285715</v>
      </c>
      <c r="AU122" s="124">
        <f>SUM(AU39:AU42)</f>
        <v>4.8571428571428577</v>
      </c>
      <c r="AV122" s="106">
        <f>SUM(AV39:AV42)</f>
        <v>0</v>
      </c>
      <c r="AW122" s="125">
        <f>SUM(AW39:AW42)</f>
        <v>0.2857142857142857</v>
      </c>
      <c r="AY122" s="56">
        <f>AY39</f>
        <v>0.29166666666666663</v>
      </c>
      <c r="AZ122" s="123">
        <f t="shared" ref="AZ122:BF122" si="155">IF(SUM(AZ39:AZ42)&gt;0, SUM(AZ39:AZ42), NA())</f>
        <v>71</v>
      </c>
      <c r="BA122" s="106">
        <f t="shared" si="155"/>
        <v>83</v>
      </c>
      <c r="BB122" s="124">
        <f t="shared" si="155"/>
        <v>69</v>
      </c>
      <c r="BC122" s="106">
        <f t="shared" si="155"/>
        <v>87</v>
      </c>
      <c r="BD122" s="124">
        <f t="shared" si="155"/>
        <v>24</v>
      </c>
      <c r="BE122" s="106">
        <f t="shared" si="155"/>
        <v>13</v>
      </c>
      <c r="BF122" s="125">
        <f t="shared" si="155"/>
        <v>71</v>
      </c>
      <c r="BH122" s="56">
        <f>BH39</f>
        <v>0.29166666666666663</v>
      </c>
      <c r="BI122" s="126">
        <f t="shared" ref="BI122:BO122" si="156">IF(SUM(CM39:CM42)&lt;=0, NA(), SUM(CM39:CM42)/AZ122)</f>
        <v>43.553521126760558</v>
      </c>
      <c r="BJ122" s="127">
        <f t="shared" si="156"/>
        <v>42.265060240963855</v>
      </c>
      <c r="BK122" s="128">
        <f t="shared" si="156"/>
        <v>43.5</v>
      </c>
      <c r="BL122" s="127">
        <f t="shared" si="156"/>
        <v>44.629885057471263</v>
      </c>
      <c r="BM122" s="128">
        <f t="shared" si="156"/>
        <v>42.67499999999999</v>
      </c>
      <c r="BN122" s="127">
        <f t="shared" si="156"/>
        <v>41.7</v>
      </c>
      <c r="BO122" s="129">
        <f t="shared" si="156"/>
        <v>43.759154929577463</v>
      </c>
      <c r="BQ122" s="56">
        <f>BQ39</f>
        <v>0.29166666666666663</v>
      </c>
      <c r="BR122" s="126">
        <f t="shared" ref="BR122:BX122" si="157">IFERROR(AVERAGE(BR39:BR42), "")</f>
        <v>50.724999999999994</v>
      </c>
      <c r="BS122" s="127">
        <f t="shared" si="157"/>
        <v>49.65</v>
      </c>
      <c r="BT122" s="128">
        <f t="shared" si="157"/>
        <v>51.099999999999994</v>
      </c>
      <c r="BU122" s="127">
        <f t="shared" si="157"/>
        <v>51.70000000000001</v>
      </c>
      <c r="BV122" s="128">
        <f t="shared" si="157"/>
        <v>53.6</v>
      </c>
      <c r="BW122" s="127" t="str">
        <f t="shared" si="157"/>
        <v/>
      </c>
      <c r="BX122" s="129">
        <f t="shared" si="157"/>
        <v>50.224999999999994</v>
      </c>
      <c r="BZ122" s="66"/>
      <c r="CA122" s="414">
        <f t="shared" si="135"/>
        <v>51.166666666666664</v>
      </c>
      <c r="CB122" s="153">
        <f t="shared" si="142"/>
        <v>60</v>
      </c>
      <c r="CM122" s="115"/>
      <c r="CN122" s="115"/>
      <c r="CO122" s="115"/>
      <c r="CP122" s="115"/>
      <c r="CQ122" s="115"/>
      <c r="CR122" s="115"/>
      <c r="CS122" s="115"/>
      <c r="CY122" s="126">
        <f>SUM(CY39:CY42)</f>
        <v>1.2</v>
      </c>
      <c r="CZ122" s="127">
        <f>SUM(CZ39:CZ42)</f>
        <v>68.2</v>
      </c>
      <c r="DA122" s="128">
        <f>SUM(DA39:DA42)</f>
        <v>6.4</v>
      </c>
      <c r="DB122" s="127">
        <f>SUM(DB39:DB42)</f>
        <v>0</v>
      </c>
      <c r="DC122" s="129">
        <f>SUM(DC39:DC42)</f>
        <v>0.4</v>
      </c>
    </row>
    <row r="123" spans="1:107" ht="15" x14ac:dyDescent="0.25">
      <c r="A123" s="440" t="s">
        <v>38</v>
      </c>
      <c r="B123" s="646">
        <v>0</v>
      </c>
      <c r="C123" s="184">
        <v>0</v>
      </c>
      <c r="D123" s="184">
        <v>0</v>
      </c>
      <c r="E123" s="184">
        <v>0</v>
      </c>
      <c r="F123" s="184">
        <v>0</v>
      </c>
      <c r="G123" s="184">
        <v>0</v>
      </c>
      <c r="H123" s="184">
        <v>0</v>
      </c>
      <c r="I123" s="184">
        <v>0</v>
      </c>
      <c r="J123" s="184">
        <v>0</v>
      </c>
      <c r="K123" s="184">
        <v>0</v>
      </c>
      <c r="L123" s="184">
        <v>0</v>
      </c>
      <c r="M123" s="654" t="s">
        <v>24</v>
      </c>
      <c r="N123" s="670" t="s">
        <v>38</v>
      </c>
      <c r="O123" s="642">
        <v>0</v>
      </c>
      <c r="P123" s="184">
        <v>0</v>
      </c>
      <c r="Q123" s="184">
        <v>0</v>
      </c>
      <c r="R123" s="184">
        <v>0</v>
      </c>
      <c r="S123" s="184">
        <v>0</v>
      </c>
      <c r="T123" s="184">
        <v>0</v>
      </c>
      <c r="U123" s="184">
        <v>0</v>
      </c>
      <c r="V123" s="184">
        <v>0</v>
      </c>
      <c r="W123" s="184">
        <v>0</v>
      </c>
      <c r="X123" s="184">
        <v>0</v>
      </c>
      <c r="Y123" s="184">
        <v>0</v>
      </c>
      <c r="Z123" s="184">
        <v>0</v>
      </c>
      <c r="AA123" s="184">
        <v>0</v>
      </c>
      <c r="AB123" s="184">
        <v>0</v>
      </c>
      <c r="AC123" s="185" t="s">
        <v>24</v>
      </c>
      <c r="AD123" s="185" t="s">
        <v>24</v>
      </c>
      <c r="AE123" s="184">
        <v>0</v>
      </c>
      <c r="AF123" s="185">
        <v>0</v>
      </c>
      <c r="AG123" s="184">
        <v>0</v>
      </c>
      <c r="AH123" s="185">
        <v>0</v>
      </c>
      <c r="AI123" s="184">
        <v>0</v>
      </c>
      <c r="AJ123" s="643">
        <v>0</v>
      </c>
      <c r="AP123" s="116">
        <f>SUM(AP43:AP46)</f>
        <v>33</v>
      </c>
      <c r="AR123" s="56">
        <f>AR43</f>
        <v>0.33333333333333337</v>
      </c>
      <c r="AS123" s="117">
        <f>SUM(AS43:AS46)</f>
        <v>0.85714285714285698</v>
      </c>
      <c r="AT123" s="116">
        <f>SUM(AT43:AT46)</f>
        <v>71.142857142857139</v>
      </c>
      <c r="AU123" s="118">
        <f>SUM(AU43:AU46)</f>
        <v>4.8571428571428568</v>
      </c>
      <c r="AV123" s="116">
        <f>SUM(AV43:AV46)</f>
        <v>0</v>
      </c>
      <c r="AW123" s="119">
        <f>SUM(AW43:AW46)</f>
        <v>0.71428571428571419</v>
      </c>
      <c r="AY123" s="56">
        <f>AY43</f>
        <v>0.33333333333333337</v>
      </c>
      <c r="AZ123" s="117">
        <f t="shared" ref="AZ123:BF123" si="158">IF(SUM(AZ43:AZ46)&gt;0, SUM(AZ43:AZ46), NA())</f>
        <v>90</v>
      </c>
      <c r="BA123" s="116">
        <f t="shared" si="158"/>
        <v>95</v>
      </c>
      <c r="BB123" s="118">
        <f t="shared" si="158"/>
        <v>81</v>
      </c>
      <c r="BC123" s="116">
        <f t="shared" si="158"/>
        <v>102</v>
      </c>
      <c r="BD123" s="118">
        <f t="shared" si="158"/>
        <v>61</v>
      </c>
      <c r="BE123" s="116">
        <f t="shared" si="158"/>
        <v>23</v>
      </c>
      <c r="BF123" s="119">
        <f t="shared" si="158"/>
        <v>91</v>
      </c>
      <c r="BH123" s="56">
        <f>BH43</f>
        <v>0.33333333333333337</v>
      </c>
      <c r="BI123" s="120">
        <f t="shared" ref="BI123:BO123" si="159">IF(SUM(CM43:CM46)&lt;=0, NA(), SUM(CM43:CM46)/AZ123)</f>
        <v>41.792222222222222</v>
      </c>
      <c r="BJ123" s="121">
        <f t="shared" si="159"/>
        <v>40.529473684210529</v>
      </c>
      <c r="BK123" s="115">
        <f t="shared" si="159"/>
        <v>40.930864197530859</v>
      </c>
      <c r="BL123" s="121">
        <f t="shared" si="159"/>
        <v>40.031372549019608</v>
      </c>
      <c r="BM123" s="115">
        <f t="shared" si="159"/>
        <v>42.260655737704923</v>
      </c>
      <c r="BN123" s="121">
        <f t="shared" si="159"/>
        <v>36.9</v>
      </c>
      <c r="BO123" s="122">
        <f t="shared" si="159"/>
        <v>41.264835164835162</v>
      </c>
      <c r="BQ123" s="56">
        <f>BQ43</f>
        <v>0.33333333333333337</v>
      </c>
      <c r="BR123" s="120">
        <f t="shared" ref="BR123:BX123" si="160">IFERROR(AVERAGE(BR43:BR46), "")</f>
        <v>48.325000000000003</v>
      </c>
      <c r="BS123" s="121">
        <f t="shared" si="160"/>
        <v>46.7</v>
      </c>
      <c r="BT123" s="115">
        <f t="shared" si="160"/>
        <v>46.825000000000003</v>
      </c>
      <c r="BU123" s="121">
        <f t="shared" si="160"/>
        <v>46.925000000000004</v>
      </c>
      <c r="BV123" s="115">
        <f t="shared" si="160"/>
        <v>49.866666666666674</v>
      </c>
      <c r="BW123" s="121" t="str">
        <f t="shared" si="160"/>
        <v/>
      </c>
      <c r="BX123" s="122">
        <f t="shared" si="160"/>
        <v>45.650000000000006</v>
      </c>
      <c r="BZ123" s="66"/>
      <c r="CA123" s="414">
        <f t="shared" si="135"/>
        <v>47.381944444444457</v>
      </c>
      <c r="CB123" s="153">
        <f t="shared" si="142"/>
        <v>60</v>
      </c>
      <c r="CM123" s="115"/>
      <c r="CN123" s="115"/>
      <c r="CO123" s="115"/>
      <c r="CP123" s="115"/>
      <c r="CQ123" s="115"/>
      <c r="CR123" s="115"/>
      <c r="CS123" s="115"/>
      <c r="CY123" s="120">
        <f>SUM(CY43:CY46)</f>
        <v>0.60000000000000009</v>
      </c>
      <c r="CZ123" s="121">
        <f>SUM(CZ43:CZ46)</f>
        <v>84</v>
      </c>
      <c r="DA123" s="115">
        <f>SUM(DA43:DA46)</f>
        <v>6.4</v>
      </c>
      <c r="DB123" s="121">
        <f>SUM(DB43:DB46)</f>
        <v>0</v>
      </c>
      <c r="DC123" s="122">
        <f>SUM(DC43:DC46)</f>
        <v>0.8</v>
      </c>
    </row>
    <row r="124" spans="1:107" ht="15" x14ac:dyDescent="0.25">
      <c r="A124" s="440" t="s">
        <v>40</v>
      </c>
      <c r="B124" s="642">
        <v>0</v>
      </c>
      <c r="C124" s="184">
        <v>0</v>
      </c>
      <c r="D124" s="184">
        <v>0</v>
      </c>
      <c r="E124" s="184">
        <v>0</v>
      </c>
      <c r="F124" s="184">
        <v>0</v>
      </c>
      <c r="G124" s="184">
        <v>0</v>
      </c>
      <c r="H124" s="184">
        <v>0</v>
      </c>
      <c r="I124" s="184">
        <v>0</v>
      </c>
      <c r="J124" s="184">
        <v>0</v>
      </c>
      <c r="K124" s="184">
        <v>0</v>
      </c>
      <c r="L124" s="184">
        <v>0</v>
      </c>
      <c r="M124" s="654" t="s">
        <v>24</v>
      </c>
      <c r="N124" s="670" t="s">
        <v>40</v>
      </c>
      <c r="O124" s="642">
        <v>0</v>
      </c>
      <c r="P124" s="184">
        <v>0</v>
      </c>
      <c r="Q124" s="184">
        <v>0</v>
      </c>
      <c r="R124" s="184">
        <v>0</v>
      </c>
      <c r="S124" s="184">
        <v>0</v>
      </c>
      <c r="T124" s="184">
        <v>0</v>
      </c>
      <c r="U124" s="184">
        <v>0</v>
      </c>
      <c r="V124" s="184">
        <v>0</v>
      </c>
      <c r="W124" s="184">
        <v>0</v>
      </c>
      <c r="X124" s="184">
        <v>0</v>
      </c>
      <c r="Y124" s="184">
        <v>0</v>
      </c>
      <c r="Z124" s="184">
        <v>0</v>
      </c>
      <c r="AA124" s="184">
        <v>0</v>
      </c>
      <c r="AB124" s="184">
        <v>0</v>
      </c>
      <c r="AC124" s="185" t="s">
        <v>24</v>
      </c>
      <c r="AD124" s="185" t="s">
        <v>24</v>
      </c>
      <c r="AE124" s="184">
        <v>0</v>
      </c>
      <c r="AF124" s="185">
        <v>0</v>
      </c>
      <c r="AG124" s="184">
        <v>0</v>
      </c>
      <c r="AH124" s="185">
        <v>0</v>
      </c>
      <c r="AI124" s="184">
        <v>0</v>
      </c>
      <c r="AJ124" s="643">
        <v>0</v>
      </c>
      <c r="AP124" s="116">
        <f>SUM(AP47:AP50)</f>
        <v>38</v>
      </c>
      <c r="AR124" s="56">
        <f>AR47</f>
        <v>0.37500000000000011</v>
      </c>
      <c r="AS124" s="117">
        <f>SUM(AS47:AS50)</f>
        <v>0.5714285714285714</v>
      </c>
      <c r="AT124" s="116">
        <f>SUM(AT47:AT50)</f>
        <v>47.142857142857139</v>
      </c>
      <c r="AU124" s="118">
        <f>SUM(AU47:AU50)</f>
        <v>5.7142857142857144</v>
      </c>
      <c r="AV124" s="116">
        <f>SUM(AV47:AV50)</f>
        <v>0</v>
      </c>
      <c r="AW124" s="119">
        <f>SUM(AW47:AW50)</f>
        <v>0.42857142857142855</v>
      </c>
      <c r="AY124" s="56">
        <f>AY47</f>
        <v>0.37500000000000011</v>
      </c>
      <c r="AZ124" s="117">
        <f t="shared" ref="AZ124:BF124" si="161">IF(SUM(AZ47:AZ50)&gt;0, SUM(AZ47:AZ50), NA())</f>
        <v>61</v>
      </c>
      <c r="BA124" s="116">
        <f t="shared" si="161"/>
        <v>85</v>
      </c>
      <c r="BB124" s="118">
        <f t="shared" si="161"/>
        <v>53</v>
      </c>
      <c r="BC124" s="116">
        <f t="shared" si="161"/>
        <v>52</v>
      </c>
      <c r="BD124" s="118">
        <f t="shared" si="161"/>
        <v>39</v>
      </c>
      <c r="BE124" s="116">
        <f t="shared" si="161"/>
        <v>37</v>
      </c>
      <c r="BF124" s="119">
        <f t="shared" si="161"/>
        <v>50</v>
      </c>
      <c r="BH124" s="56">
        <f>BH47</f>
        <v>0.37500000000000011</v>
      </c>
      <c r="BI124" s="120">
        <f t="shared" ref="BI124:BO124" si="162">IF(SUM(CM47:CM50)&lt;=0, NA(), SUM(CM47:CM50)/AZ124)</f>
        <v>39.798360655737703</v>
      </c>
      <c r="BJ124" s="121">
        <f t="shared" si="162"/>
        <v>35.436470588235295</v>
      </c>
      <c r="BK124" s="115">
        <f t="shared" si="162"/>
        <v>37.52264150943396</v>
      </c>
      <c r="BL124" s="121">
        <f t="shared" si="162"/>
        <v>39.223076923076924</v>
      </c>
      <c r="BM124" s="115">
        <f t="shared" si="162"/>
        <v>40.05641025641026</v>
      </c>
      <c r="BN124" s="121">
        <f t="shared" si="162"/>
        <v>39.254054054054059</v>
      </c>
      <c r="BO124" s="122">
        <f t="shared" si="162"/>
        <v>39.251999999999995</v>
      </c>
      <c r="BQ124" s="56">
        <f>BQ47</f>
        <v>0.37500000000000011</v>
      </c>
      <c r="BR124" s="120">
        <f t="shared" ref="BR124:BX124" si="163">IFERROR(AVERAGE(BR47:BR50), "")</f>
        <v>46.6</v>
      </c>
      <c r="BS124" s="121">
        <f t="shared" si="163"/>
        <v>42.35</v>
      </c>
      <c r="BT124" s="115">
        <f t="shared" si="163"/>
        <v>46.766666666666673</v>
      </c>
      <c r="BU124" s="121">
        <f t="shared" si="163"/>
        <v>48.333333333333336</v>
      </c>
      <c r="BV124" s="115">
        <f t="shared" si="163"/>
        <v>43.2</v>
      </c>
      <c r="BW124" s="121">
        <f t="shared" si="163"/>
        <v>49.3</v>
      </c>
      <c r="BX124" s="122">
        <f t="shared" si="163"/>
        <v>46.275000000000006</v>
      </c>
      <c r="BZ124" s="66"/>
      <c r="CA124" s="414">
        <f t="shared" si="135"/>
        <v>46.117857142857147</v>
      </c>
      <c r="CB124" s="153">
        <f t="shared" si="142"/>
        <v>60</v>
      </c>
      <c r="CM124" s="115"/>
      <c r="CN124" s="115"/>
      <c r="CO124" s="115"/>
      <c r="CP124" s="115"/>
      <c r="CQ124" s="115"/>
      <c r="CR124" s="115"/>
      <c r="CS124" s="115"/>
      <c r="CY124" s="120">
        <f>SUM(CY47:CY50)</f>
        <v>0</v>
      </c>
      <c r="CZ124" s="121">
        <f>SUM(CZ47:CZ50)</f>
        <v>52.199999999999996</v>
      </c>
      <c r="DA124" s="115">
        <f>SUM(DA47:DA50)</f>
        <v>7.4</v>
      </c>
      <c r="DB124" s="121">
        <f>SUM(DB47:DB50)</f>
        <v>0</v>
      </c>
      <c r="DC124" s="122">
        <f>SUM(DC47:DC50)</f>
        <v>0.60000000000000009</v>
      </c>
    </row>
    <row r="125" spans="1:107" ht="15" x14ac:dyDescent="0.25">
      <c r="A125" s="440" t="s">
        <v>42</v>
      </c>
      <c r="B125" s="642">
        <v>0</v>
      </c>
      <c r="C125" s="184">
        <v>0</v>
      </c>
      <c r="D125" s="184">
        <v>0</v>
      </c>
      <c r="E125" s="184">
        <v>0</v>
      </c>
      <c r="F125" s="184">
        <v>0</v>
      </c>
      <c r="G125" s="184">
        <v>0</v>
      </c>
      <c r="H125" s="184">
        <v>0</v>
      </c>
      <c r="I125" s="184">
        <v>0</v>
      </c>
      <c r="J125" s="184">
        <v>0</v>
      </c>
      <c r="K125" s="184">
        <v>0</v>
      </c>
      <c r="L125" s="184">
        <v>0</v>
      </c>
      <c r="M125" s="654" t="s">
        <v>24</v>
      </c>
      <c r="N125" s="670" t="s">
        <v>42</v>
      </c>
      <c r="O125" s="642">
        <v>0</v>
      </c>
      <c r="P125" s="184">
        <v>0</v>
      </c>
      <c r="Q125" s="184">
        <v>0</v>
      </c>
      <c r="R125" s="184">
        <v>0</v>
      </c>
      <c r="S125" s="184">
        <v>0</v>
      </c>
      <c r="T125" s="184">
        <v>0</v>
      </c>
      <c r="U125" s="184">
        <v>0</v>
      </c>
      <c r="V125" s="184">
        <v>0</v>
      </c>
      <c r="W125" s="184">
        <v>0</v>
      </c>
      <c r="X125" s="184">
        <v>0</v>
      </c>
      <c r="Y125" s="184">
        <v>0</v>
      </c>
      <c r="Z125" s="184">
        <v>0</v>
      </c>
      <c r="AA125" s="184">
        <v>0</v>
      </c>
      <c r="AB125" s="184">
        <v>0</v>
      </c>
      <c r="AC125" s="185" t="s">
        <v>24</v>
      </c>
      <c r="AD125" s="185" t="s">
        <v>24</v>
      </c>
      <c r="AE125" s="184">
        <v>0</v>
      </c>
      <c r="AF125" s="185">
        <v>0</v>
      </c>
      <c r="AG125" s="184">
        <v>0</v>
      </c>
      <c r="AH125" s="185">
        <v>0</v>
      </c>
      <c r="AI125" s="184">
        <v>0</v>
      </c>
      <c r="AJ125" s="643">
        <v>0</v>
      </c>
      <c r="AP125" s="116">
        <f>SUM(AP51:AP54)</f>
        <v>27</v>
      </c>
      <c r="AR125" s="56">
        <f>AR51</f>
        <v>0.41666666666666685</v>
      </c>
      <c r="AS125" s="117">
        <f>SUM(AS51:AS54)</f>
        <v>0.8571428571428571</v>
      </c>
      <c r="AT125" s="116">
        <f>SUM(AT51:AT54)</f>
        <v>33.714285714285715</v>
      </c>
      <c r="AU125" s="118">
        <f>SUM(AU51:AU54)</f>
        <v>3.8571428571428572</v>
      </c>
      <c r="AV125" s="116">
        <f>SUM(AV51:AV54)</f>
        <v>0</v>
      </c>
      <c r="AW125" s="119">
        <f>SUM(AW51:AW54)</f>
        <v>0</v>
      </c>
      <c r="AY125" s="56">
        <f>AY51</f>
        <v>0.41666666666666685</v>
      </c>
      <c r="AZ125" s="117">
        <f t="shared" ref="AZ125:BF125" si="164">IF(SUM(AZ51:AZ54)&gt;0, SUM(AZ51:AZ54), NA())</f>
        <v>37</v>
      </c>
      <c r="BA125" s="116">
        <f t="shared" si="164"/>
        <v>39</v>
      </c>
      <c r="BB125" s="118">
        <f t="shared" si="164"/>
        <v>40</v>
      </c>
      <c r="BC125" s="116">
        <f t="shared" si="164"/>
        <v>36</v>
      </c>
      <c r="BD125" s="118">
        <f t="shared" si="164"/>
        <v>36</v>
      </c>
      <c r="BE125" s="116">
        <f t="shared" si="164"/>
        <v>41</v>
      </c>
      <c r="BF125" s="119">
        <f t="shared" si="164"/>
        <v>40</v>
      </c>
      <c r="BH125" s="56">
        <f>BH51</f>
        <v>0.41666666666666685</v>
      </c>
      <c r="BI125" s="120">
        <f t="shared" ref="BI125:BO125" si="165">IF(SUM(CM51:CM54)&lt;=0, NA(), SUM(CM51:CM54)/AZ125)</f>
        <v>39.421621621621618</v>
      </c>
      <c r="BJ125" s="121">
        <f t="shared" si="165"/>
        <v>35.56666666666667</v>
      </c>
      <c r="BK125" s="115">
        <f t="shared" si="165"/>
        <v>36.182499999999997</v>
      </c>
      <c r="BL125" s="121">
        <f t="shared" si="165"/>
        <v>40.841666666666669</v>
      </c>
      <c r="BM125" s="115">
        <f t="shared" si="165"/>
        <v>35.605555555555547</v>
      </c>
      <c r="BN125" s="121">
        <f t="shared" si="165"/>
        <v>38.229268292682931</v>
      </c>
      <c r="BO125" s="122">
        <f t="shared" si="165"/>
        <v>37.132500000000007</v>
      </c>
      <c r="BQ125" s="56">
        <f>BQ51</f>
        <v>0.41666666666666685</v>
      </c>
      <c r="BR125" s="120">
        <f t="shared" ref="BR125:BX125" si="166">IFERROR(AVERAGE(BR51:BR54), "")</f>
        <v>48.099999999999994</v>
      </c>
      <c r="BS125" s="121">
        <f t="shared" si="166"/>
        <v>47.75</v>
      </c>
      <c r="BT125" s="115">
        <f t="shared" si="166"/>
        <v>45.45</v>
      </c>
      <c r="BU125" s="121">
        <f t="shared" si="166"/>
        <v>46.2</v>
      </c>
      <c r="BV125" s="115">
        <f t="shared" si="166"/>
        <v>50.6</v>
      </c>
      <c r="BW125" s="121">
        <f t="shared" si="166"/>
        <v>48.099999999999994</v>
      </c>
      <c r="BX125" s="122">
        <f t="shared" si="166"/>
        <v>45.7</v>
      </c>
      <c r="BZ125" s="66"/>
      <c r="CA125" s="414">
        <f t="shared" si="135"/>
        <v>47.414285714285711</v>
      </c>
      <c r="CB125" s="153">
        <f t="shared" si="142"/>
        <v>60</v>
      </c>
      <c r="CM125" s="115"/>
      <c r="CN125" s="115"/>
      <c r="CO125" s="115"/>
      <c r="CP125" s="115"/>
      <c r="CQ125" s="115"/>
      <c r="CR125" s="115"/>
      <c r="CS125" s="115"/>
      <c r="CY125" s="120">
        <f>SUM(CY51:CY54)</f>
        <v>0.2</v>
      </c>
      <c r="CZ125" s="121">
        <f>SUM(CZ51:CZ54)</f>
        <v>33.200000000000003</v>
      </c>
      <c r="DA125" s="115">
        <f>SUM(DA51:DA54)</f>
        <v>5</v>
      </c>
      <c r="DB125" s="121">
        <f>SUM(DB51:DB54)</f>
        <v>0</v>
      </c>
      <c r="DC125" s="122">
        <f>SUM(DC51:DC54)</f>
        <v>0</v>
      </c>
    </row>
    <row r="126" spans="1:107" ht="15" x14ac:dyDescent="0.25">
      <c r="A126" s="440" t="s">
        <v>39</v>
      </c>
      <c r="B126" s="642">
        <v>0</v>
      </c>
      <c r="C126" s="184">
        <v>0</v>
      </c>
      <c r="D126" s="184">
        <v>0</v>
      </c>
      <c r="E126" s="184">
        <v>0</v>
      </c>
      <c r="F126" s="184">
        <v>0</v>
      </c>
      <c r="G126" s="184">
        <v>0</v>
      </c>
      <c r="H126" s="184">
        <v>0</v>
      </c>
      <c r="I126" s="184">
        <v>0</v>
      </c>
      <c r="J126" s="184">
        <v>0</v>
      </c>
      <c r="K126" s="184">
        <v>0</v>
      </c>
      <c r="L126" s="184">
        <v>0</v>
      </c>
      <c r="M126" s="654" t="s">
        <v>24</v>
      </c>
      <c r="N126" s="670" t="s">
        <v>39</v>
      </c>
      <c r="O126" s="642">
        <v>0</v>
      </c>
      <c r="P126" s="184">
        <v>0</v>
      </c>
      <c r="Q126" s="184">
        <v>0</v>
      </c>
      <c r="R126" s="184">
        <v>0</v>
      </c>
      <c r="S126" s="184">
        <v>0</v>
      </c>
      <c r="T126" s="184">
        <v>0</v>
      </c>
      <c r="U126" s="184">
        <v>0</v>
      </c>
      <c r="V126" s="184">
        <v>0</v>
      </c>
      <c r="W126" s="184">
        <v>0</v>
      </c>
      <c r="X126" s="184">
        <v>0</v>
      </c>
      <c r="Y126" s="184">
        <v>0</v>
      </c>
      <c r="Z126" s="184">
        <v>0</v>
      </c>
      <c r="AA126" s="184">
        <v>0</v>
      </c>
      <c r="AB126" s="184">
        <v>0</v>
      </c>
      <c r="AC126" s="185" t="s">
        <v>24</v>
      </c>
      <c r="AD126" s="185" t="s">
        <v>24</v>
      </c>
      <c r="AE126" s="184">
        <v>0</v>
      </c>
      <c r="AF126" s="185">
        <v>0</v>
      </c>
      <c r="AG126" s="184">
        <v>0</v>
      </c>
      <c r="AH126" s="185">
        <v>0</v>
      </c>
      <c r="AI126" s="184">
        <v>0</v>
      </c>
      <c r="AJ126" s="643">
        <v>0</v>
      </c>
      <c r="AP126" s="116">
        <f>SUM(AP55:AP58)</f>
        <v>24</v>
      </c>
      <c r="AR126" s="56">
        <f>AR55</f>
        <v>0.45833333333333359</v>
      </c>
      <c r="AS126" s="117">
        <f>SUM(AS55:AS58)</f>
        <v>1.2857142857142856</v>
      </c>
      <c r="AT126" s="116">
        <f>SUM(AT55:AT58)</f>
        <v>34.285714285714285</v>
      </c>
      <c r="AU126" s="118">
        <f>SUM(AU55:AU58)</f>
        <v>3.5714285714285712</v>
      </c>
      <c r="AV126" s="116">
        <f>SUM(AV55:AV58)</f>
        <v>0</v>
      </c>
      <c r="AW126" s="119">
        <f>SUM(AW55:AW58)</f>
        <v>0</v>
      </c>
      <c r="AY126" s="56">
        <f>AY55</f>
        <v>0.45833333333333359</v>
      </c>
      <c r="AZ126" s="117">
        <f t="shared" ref="AZ126:BF126" si="167">IF(SUM(AZ55:AZ58)&gt;0, SUM(AZ55:AZ58), NA())</f>
        <v>42</v>
      </c>
      <c r="BA126" s="116">
        <f t="shared" si="167"/>
        <v>33</v>
      </c>
      <c r="BB126" s="118">
        <f t="shared" si="167"/>
        <v>40</v>
      </c>
      <c r="BC126" s="116">
        <f t="shared" si="167"/>
        <v>44</v>
      </c>
      <c r="BD126" s="118">
        <f t="shared" si="167"/>
        <v>37</v>
      </c>
      <c r="BE126" s="116">
        <f t="shared" si="167"/>
        <v>37</v>
      </c>
      <c r="BF126" s="119">
        <f t="shared" si="167"/>
        <v>41</v>
      </c>
      <c r="BH126" s="56">
        <f>BH55</f>
        <v>0.45833333333333359</v>
      </c>
      <c r="BI126" s="120">
        <f t="shared" ref="BI126:BO126" si="168">IF(SUM(CM55:CM58)&lt;=0, NA(), SUM(CM55:CM58)/AZ126)</f>
        <v>38.442857142857143</v>
      </c>
      <c r="BJ126" s="121">
        <f t="shared" si="168"/>
        <v>37.263636363636365</v>
      </c>
      <c r="BK126" s="115">
        <f t="shared" si="168"/>
        <v>38.974999999999994</v>
      </c>
      <c r="BL126" s="121">
        <f t="shared" si="168"/>
        <v>37.427272727272729</v>
      </c>
      <c r="BM126" s="115">
        <f t="shared" si="168"/>
        <v>39.081081081081081</v>
      </c>
      <c r="BN126" s="121">
        <f t="shared" si="168"/>
        <v>38.554054054054056</v>
      </c>
      <c r="BO126" s="122">
        <f t="shared" si="168"/>
        <v>36.209756097560977</v>
      </c>
      <c r="BQ126" s="56">
        <f>BQ55</f>
        <v>0.45833333333333359</v>
      </c>
      <c r="BR126" s="120">
        <f t="shared" ref="BR126:BX126" si="169">IFERROR(AVERAGE(BR55:BR58), "")</f>
        <v>48.6</v>
      </c>
      <c r="BS126" s="121">
        <f t="shared" si="169"/>
        <v>46.3</v>
      </c>
      <c r="BT126" s="115">
        <f t="shared" si="169"/>
        <v>46.5</v>
      </c>
      <c r="BU126" s="121">
        <f t="shared" si="169"/>
        <v>47.25</v>
      </c>
      <c r="BV126" s="115">
        <f t="shared" si="169"/>
        <v>49.4</v>
      </c>
      <c r="BW126" s="121">
        <f t="shared" si="169"/>
        <v>41.9</v>
      </c>
      <c r="BX126" s="122">
        <f t="shared" si="169"/>
        <v>48.066666666666663</v>
      </c>
      <c r="BZ126" s="66"/>
      <c r="CA126" s="414">
        <f t="shared" si="135"/>
        <v>46.859523809523807</v>
      </c>
      <c r="CB126" s="153">
        <f t="shared" si="142"/>
        <v>60</v>
      </c>
      <c r="CM126" s="115"/>
      <c r="CN126" s="115"/>
      <c r="CO126" s="115"/>
      <c r="CP126" s="115"/>
      <c r="CQ126" s="115"/>
      <c r="CR126" s="115"/>
      <c r="CS126" s="115"/>
      <c r="CY126" s="120">
        <f>SUM(CY55:CY58)</f>
        <v>1.2</v>
      </c>
      <c r="CZ126" s="121">
        <f>SUM(CZ55:CZ58)</f>
        <v>34.000000000000007</v>
      </c>
      <c r="DA126" s="115">
        <f>SUM(DA55:DA58)</f>
        <v>4.8000000000000007</v>
      </c>
      <c r="DB126" s="121">
        <f>SUM(DB55:DB58)</f>
        <v>0</v>
      </c>
      <c r="DC126" s="122">
        <f>SUM(DC55:DC58)</f>
        <v>0</v>
      </c>
    </row>
    <row r="127" spans="1:107" ht="15" x14ac:dyDescent="0.25">
      <c r="A127" s="440" t="s">
        <v>45</v>
      </c>
      <c r="B127" s="642">
        <v>0</v>
      </c>
      <c r="C127" s="184">
        <v>0</v>
      </c>
      <c r="D127" s="184">
        <v>0</v>
      </c>
      <c r="E127" s="184">
        <v>0</v>
      </c>
      <c r="F127" s="184">
        <v>0</v>
      </c>
      <c r="G127" s="184">
        <v>0</v>
      </c>
      <c r="H127" s="184">
        <v>0</v>
      </c>
      <c r="I127" s="184">
        <v>0</v>
      </c>
      <c r="J127" s="184">
        <v>0</v>
      </c>
      <c r="K127" s="184">
        <v>0</v>
      </c>
      <c r="L127" s="184">
        <v>0</v>
      </c>
      <c r="M127" s="654" t="s">
        <v>24</v>
      </c>
      <c r="N127" s="670" t="s">
        <v>45</v>
      </c>
      <c r="O127" s="642">
        <v>0</v>
      </c>
      <c r="P127" s="184">
        <v>0</v>
      </c>
      <c r="Q127" s="184">
        <v>0</v>
      </c>
      <c r="R127" s="184">
        <v>0</v>
      </c>
      <c r="S127" s="184">
        <v>0</v>
      </c>
      <c r="T127" s="184">
        <v>0</v>
      </c>
      <c r="U127" s="184">
        <v>0</v>
      </c>
      <c r="V127" s="184">
        <v>0</v>
      </c>
      <c r="W127" s="184">
        <v>0</v>
      </c>
      <c r="X127" s="184">
        <v>0</v>
      </c>
      <c r="Y127" s="184">
        <v>0</v>
      </c>
      <c r="Z127" s="184">
        <v>0</v>
      </c>
      <c r="AA127" s="184">
        <v>0</v>
      </c>
      <c r="AB127" s="184">
        <v>0</v>
      </c>
      <c r="AC127" s="185" t="s">
        <v>24</v>
      </c>
      <c r="AD127" s="185" t="s">
        <v>24</v>
      </c>
      <c r="AE127" s="184">
        <v>0</v>
      </c>
      <c r="AF127" s="185">
        <v>0</v>
      </c>
      <c r="AG127" s="184">
        <v>0</v>
      </c>
      <c r="AH127" s="185">
        <v>0</v>
      </c>
      <c r="AI127" s="184">
        <v>0</v>
      </c>
      <c r="AJ127" s="643">
        <v>0</v>
      </c>
      <c r="AP127" s="116">
        <f>SUM(AP59:AP62)</f>
        <v>27</v>
      </c>
      <c r="AR127" s="56">
        <f>AR59</f>
        <v>0.50000000000000033</v>
      </c>
      <c r="AS127" s="117">
        <f>SUM(AS59:AS62)</f>
        <v>2.2857142857142856</v>
      </c>
      <c r="AT127" s="116">
        <f>SUM(AT59:AT62)</f>
        <v>30.714285714285715</v>
      </c>
      <c r="AU127" s="118">
        <f>SUM(AU59:AU62)</f>
        <v>4</v>
      </c>
      <c r="AV127" s="116">
        <f>SUM(AV59:AV62)</f>
        <v>0.2857142857142857</v>
      </c>
      <c r="AW127" s="119">
        <f>SUM(AW59:AW62)</f>
        <v>0</v>
      </c>
      <c r="AY127" s="56">
        <f>AY59</f>
        <v>0.50000000000000033</v>
      </c>
      <c r="AZ127" s="117">
        <f t="shared" ref="AZ127:BF127" si="170">IF(SUM(AZ59:AZ62)&gt;0, SUM(AZ59:AZ62), NA())</f>
        <v>33</v>
      </c>
      <c r="BA127" s="116">
        <f t="shared" si="170"/>
        <v>36</v>
      </c>
      <c r="BB127" s="118">
        <f t="shared" si="170"/>
        <v>38</v>
      </c>
      <c r="BC127" s="116">
        <f t="shared" si="170"/>
        <v>26</v>
      </c>
      <c r="BD127" s="118">
        <f t="shared" si="170"/>
        <v>55</v>
      </c>
      <c r="BE127" s="116">
        <f t="shared" si="170"/>
        <v>42</v>
      </c>
      <c r="BF127" s="119">
        <f t="shared" si="170"/>
        <v>31</v>
      </c>
      <c r="BH127" s="56">
        <f>BH59</f>
        <v>0.50000000000000033</v>
      </c>
      <c r="BI127" s="120">
        <f t="shared" ref="BI127:BO127" si="171">IF(SUM(CM59:CM62)&lt;=0, NA(), SUM(CM59:CM62)/AZ127)</f>
        <v>37.845454545454544</v>
      </c>
      <c r="BJ127" s="121">
        <f t="shared" si="171"/>
        <v>35.908333333333331</v>
      </c>
      <c r="BK127" s="115">
        <f t="shared" si="171"/>
        <v>39.873684210526314</v>
      </c>
      <c r="BL127" s="121">
        <f t="shared" si="171"/>
        <v>39.403846153846153</v>
      </c>
      <c r="BM127" s="115">
        <f t="shared" si="171"/>
        <v>32.601818181818182</v>
      </c>
      <c r="BN127" s="121">
        <f t="shared" si="171"/>
        <v>36.995238095238101</v>
      </c>
      <c r="BO127" s="122">
        <f t="shared" si="171"/>
        <v>39.006451612903227</v>
      </c>
      <c r="BQ127" s="56">
        <f>BQ59</f>
        <v>0.50000000000000033</v>
      </c>
      <c r="BR127" s="120">
        <f t="shared" ref="BR127:BX127" si="172">IFERROR(AVERAGE(BR59:BR62), "")</f>
        <v>42.1</v>
      </c>
      <c r="BS127" s="121">
        <f t="shared" si="172"/>
        <v>40.700000000000003</v>
      </c>
      <c r="BT127" s="115">
        <f t="shared" si="172"/>
        <v>43.150000000000006</v>
      </c>
      <c r="BU127" s="121" t="str">
        <f t="shared" si="172"/>
        <v/>
      </c>
      <c r="BV127" s="115">
        <f t="shared" si="172"/>
        <v>42</v>
      </c>
      <c r="BW127" s="121">
        <f t="shared" si="172"/>
        <v>45.2</v>
      </c>
      <c r="BX127" s="122" t="str">
        <f t="shared" si="172"/>
        <v/>
      </c>
      <c r="BZ127" s="66"/>
      <c r="CA127" s="414">
        <f t="shared" si="135"/>
        <v>42.63000000000001</v>
      </c>
      <c r="CB127" s="153">
        <f t="shared" si="142"/>
        <v>60</v>
      </c>
      <c r="CM127" s="115"/>
      <c r="CN127" s="115"/>
      <c r="CO127" s="115"/>
      <c r="CP127" s="115"/>
      <c r="CQ127" s="115"/>
      <c r="CR127" s="115"/>
      <c r="CS127" s="115"/>
      <c r="CY127" s="120">
        <f>SUM(CY59:CY62)</f>
        <v>0.60000000000000009</v>
      </c>
      <c r="CZ127" s="121">
        <f>SUM(CZ59:CZ62)</f>
        <v>27.799999999999997</v>
      </c>
      <c r="DA127" s="115">
        <f>SUM(DA59:DA62)</f>
        <v>4.4000000000000004</v>
      </c>
      <c r="DB127" s="121">
        <f>SUM(DB59:DB62)</f>
        <v>0</v>
      </c>
      <c r="DC127" s="122">
        <f>SUM(DC59:DC62)</f>
        <v>0</v>
      </c>
    </row>
    <row r="128" spans="1:107" ht="15" x14ac:dyDescent="0.25">
      <c r="A128" s="440" t="s">
        <v>47</v>
      </c>
      <c r="B128" s="642">
        <v>0</v>
      </c>
      <c r="C128" s="184">
        <v>0</v>
      </c>
      <c r="D128" s="184">
        <v>0</v>
      </c>
      <c r="E128" s="184">
        <v>0</v>
      </c>
      <c r="F128" s="184">
        <v>0</v>
      </c>
      <c r="G128" s="184">
        <v>0</v>
      </c>
      <c r="H128" s="184">
        <v>0</v>
      </c>
      <c r="I128" s="184">
        <v>0</v>
      </c>
      <c r="J128" s="184">
        <v>0</v>
      </c>
      <c r="K128" s="184">
        <v>0</v>
      </c>
      <c r="L128" s="184">
        <v>0</v>
      </c>
      <c r="M128" s="654" t="s">
        <v>24</v>
      </c>
      <c r="N128" s="670" t="s">
        <v>47</v>
      </c>
      <c r="O128" s="642">
        <v>0</v>
      </c>
      <c r="P128" s="184">
        <v>0</v>
      </c>
      <c r="Q128" s="184">
        <v>0</v>
      </c>
      <c r="R128" s="184">
        <v>0</v>
      </c>
      <c r="S128" s="184">
        <v>0</v>
      </c>
      <c r="T128" s="184">
        <v>0</v>
      </c>
      <c r="U128" s="184">
        <v>0</v>
      </c>
      <c r="V128" s="184">
        <v>0</v>
      </c>
      <c r="W128" s="184">
        <v>0</v>
      </c>
      <c r="X128" s="184">
        <v>0</v>
      </c>
      <c r="Y128" s="184">
        <v>0</v>
      </c>
      <c r="Z128" s="184">
        <v>0</v>
      </c>
      <c r="AA128" s="184">
        <v>0</v>
      </c>
      <c r="AB128" s="184">
        <v>0</v>
      </c>
      <c r="AC128" s="185" t="s">
        <v>24</v>
      </c>
      <c r="AD128" s="185" t="s">
        <v>24</v>
      </c>
      <c r="AE128" s="184">
        <v>0</v>
      </c>
      <c r="AF128" s="185">
        <v>0</v>
      </c>
      <c r="AG128" s="184">
        <v>0</v>
      </c>
      <c r="AH128" s="185">
        <v>0</v>
      </c>
      <c r="AI128" s="184">
        <v>0</v>
      </c>
      <c r="AJ128" s="643">
        <v>0</v>
      </c>
      <c r="AP128" s="116">
        <f>SUM(AP63:AP66)</f>
        <v>21</v>
      </c>
      <c r="AR128" s="56">
        <f>AR63</f>
        <v>0.54166666666666685</v>
      </c>
      <c r="AS128" s="117">
        <f>SUM(AS63:AS66)</f>
        <v>0.71428571428571419</v>
      </c>
      <c r="AT128" s="116">
        <f>SUM(AT63:AT66)</f>
        <v>29.428571428571431</v>
      </c>
      <c r="AU128" s="118">
        <f>SUM(AU63:AU66)</f>
        <v>3</v>
      </c>
      <c r="AV128" s="116">
        <f>SUM(AV63:AV66)</f>
        <v>0.14285714285714285</v>
      </c>
      <c r="AW128" s="119">
        <f>SUM(AW63:AW66)</f>
        <v>0.14285714285714285</v>
      </c>
      <c r="AY128" s="56">
        <f>AY63</f>
        <v>0.54166666666666685</v>
      </c>
      <c r="AZ128" s="117">
        <f t="shared" ref="AZ128:BF128" si="173">IF(SUM(AZ63:AZ66)&gt;0, SUM(AZ63:AZ66), NA())</f>
        <v>26</v>
      </c>
      <c r="BA128" s="116">
        <f t="shared" si="173"/>
        <v>32</v>
      </c>
      <c r="BB128" s="118">
        <f t="shared" si="173"/>
        <v>22</v>
      </c>
      <c r="BC128" s="116">
        <f t="shared" si="173"/>
        <v>47</v>
      </c>
      <c r="BD128" s="118">
        <f t="shared" si="173"/>
        <v>41</v>
      </c>
      <c r="BE128" s="116">
        <f t="shared" si="173"/>
        <v>36</v>
      </c>
      <c r="BF128" s="119">
        <f t="shared" si="173"/>
        <v>30</v>
      </c>
      <c r="BH128" s="56">
        <f>BH63</f>
        <v>0.54166666666666685</v>
      </c>
      <c r="BI128" s="120">
        <f t="shared" ref="BI128:BO128" si="174">IF(SUM(CM63:CM66)&lt;=0, NA(), SUM(CM63:CM66)/AZ128)</f>
        <v>40.115384615384613</v>
      </c>
      <c r="BJ128" s="121">
        <f t="shared" si="174"/>
        <v>39.565624999999997</v>
      </c>
      <c r="BK128" s="115">
        <f t="shared" si="174"/>
        <v>36.49545454545455</v>
      </c>
      <c r="BL128" s="121">
        <f t="shared" si="174"/>
        <v>37.659574468085104</v>
      </c>
      <c r="BM128" s="115">
        <f t="shared" si="174"/>
        <v>39.263414634146343</v>
      </c>
      <c r="BN128" s="121">
        <f t="shared" si="174"/>
        <v>38.197222222222223</v>
      </c>
      <c r="BO128" s="122">
        <f t="shared" si="174"/>
        <v>39.653333333333329</v>
      </c>
      <c r="BQ128" s="56">
        <f>BQ63</f>
        <v>0.54166666666666685</v>
      </c>
      <c r="BR128" s="120" t="str">
        <f t="shared" ref="BR128:BX128" si="175">IFERROR(AVERAGE(BR63:BR66), "")</f>
        <v/>
      </c>
      <c r="BS128" s="121" t="str">
        <f t="shared" si="175"/>
        <v/>
      </c>
      <c r="BT128" s="115" t="str">
        <f t="shared" si="175"/>
        <v/>
      </c>
      <c r="BU128" s="121">
        <f t="shared" si="175"/>
        <v>42.366666666666667</v>
      </c>
      <c r="BV128" s="115">
        <f t="shared" si="175"/>
        <v>48.199999999999996</v>
      </c>
      <c r="BW128" s="121">
        <f t="shared" si="175"/>
        <v>46.8</v>
      </c>
      <c r="BX128" s="122" t="str">
        <f t="shared" si="175"/>
        <v/>
      </c>
      <c r="BZ128" s="66"/>
      <c r="CA128" s="414">
        <f t="shared" si="135"/>
        <v>45.788888888888891</v>
      </c>
      <c r="CB128" s="153">
        <f t="shared" si="142"/>
        <v>60</v>
      </c>
      <c r="CM128" s="115"/>
      <c r="CN128" s="115"/>
      <c r="CO128" s="115"/>
      <c r="CP128" s="115"/>
      <c r="CQ128" s="115"/>
      <c r="CR128" s="115"/>
      <c r="CS128" s="115"/>
      <c r="CY128" s="120">
        <f>SUM(CY63:CY66)</f>
        <v>0.8</v>
      </c>
      <c r="CZ128" s="121">
        <f>SUM(CZ63:CZ66)</f>
        <v>27.200000000000003</v>
      </c>
      <c r="DA128" s="115">
        <f>SUM(DA63:DA66)</f>
        <v>3.2</v>
      </c>
      <c r="DB128" s="121">
        <f>SUM(DB63:DB66)</f>
        <v>0</v>
      </c>
      <c r="DC128" s="122">
        <f>SUM(DC63:DC66)</f>
        <v>0.2</v>
      </c>
    </row>
    <row r="129" spans="1:107" ht="15" x14ac:dyDescent="0.25">
      <c r="A129" s="440" t="s">
        <v>49</v>
      </c>
      <c r="B129" s="642">
        <v>0</v>
      </c>
      <c r="C129" s="184">
        <v>0</v>
      </c>
      <c r="D129" s="184">
        <v>0</v>
      </c>
      <c r="E129" s="184">
        <v>0</v>
      </c>
      <c r="F129" s="184">
        <v>0</v>
      </c>
      <c r="G129" s="184">
        <v>0</v>
      </c>
      <c r="H129" s="184">
        <v>0</v>
      </c>
      <c r="I129" s="184">
        <v>0</v>
      </c>
      <c r="J129" s="184">
        <v>0</v>
      </c>
      <c r="K129" s="184">
        <v>0</v>
      </c>
      <c r="L129" s="184">
        <v>0</v>
      </c>
      <c r="M129" s="654" t="s">
        <v>24</v>
      </c>
      <c r="N129" s="670" t="s">
        <v>49</v>
      </c>
      <c r="O129" s="642">
        <v>0</v>
      </c>
      <c r="P129" s="184">
        <v>0</v>
      </c>
      <c r="Q129" s="184">
        <v>0</v>
      </c>
      <c r="R129" s="184">
        <v>0</v>
      </c>
      <c r="S129" s="184">
        <v>0</v>
      </c>
      <c r="T129" s="184">
        <v>0</v>
      </c>
      <c r="U129" s="184">
        <v>0</v>
      </c>
      <c r="V129" s="184">
        <v>0</v>
      </c>
      <c r="W129" s="184">
        <v>0</v>
      </c>
      <c r="X129" s="184">
        <v>0</v>
      </c>
      <c r="Y129" s="184">
        <v>0</v>
      </c>
      <c r="Z129" s="184">
        <v>0</v>
      </c>
      <c r="AA129" s="184">
        <v>0</v>
      </c>
      <c r="AB129" s="184">
        <v>0</v>
      </c>
      <c r="AC129" s="185" t="s">
        <v>24</v>
      </c>
      <c r="AD129" s="185" t="s">
        <v>24</v>
      </c>
      <c r="AE129" s="184">
        <v>0</v>
      </c>
      <c r="AF129" s="185">
        <v>0</v>
      </c>
      <c r="AG129" s="184">
        <v>0</v>
      </c>
      <c r="AH129" s="185">
        <v>0</v>
      </c>
      <c r="AI129" s="184">
        <v>0</v>
      </c>
      <c r="AJ129" s="643">
        <v>0</v>
      </c>
      <c r="AP129" s="116">
        <f>SUM(AP67:AP70)</f>
        <v>19</v>
      </c>
      <c r="AR129" s="56">
        <f>AR67</f>
        <v>0.58333333333333337</v>
      </c>
      <c r="AS129" s="117">
        <f>SUM(AS67:AS70)</f>
        <v>2.7142857142857144</v>
      </c>
      <c r="AT129" s="116">
        <f>SUM(AT67:AT70)</f>
        <v>31.714285714285715</v>
      </c>
      <c r="AU129" s="118">
        <f>SUM(AU67:AU70)</f>
        <v>2.8571428571428568</v>
      </c>
      <c r="AV129" s="116">
        <f>SUM(AV67:AV70)</f>
        <v>0.2857142857142857</v>
      </c>
      <c r="AW129" s="119">
        <f>SUM(AW67:AW70)</f>
        <v>0</v>
      </c>
      <c r="AY129" s="56">
        <f>AY67</f>
        <v>0.58333333333333337</v>
      </c>
      <c r="AZ129" s="117">
        <f t="shared" ref="AZ129:BF129" si="176">IF(SUM(AZ67:AZ70)&gt;0, SUM(AZ67:AZ70), NA())</f>
        <v>38</v>
      </c>
      <c r="BA129" s="116">
        <f t="shared" si="176"/>
        <v>34</v>
      </c>
      <c r="BB129" s="118">
        <f t="shared" si="176"/>
        <v>33</v>
      </c>
      <c r="BC129" s="116">
        <f t="shared" si="176"/>
        <v>58</v>
      </c>
      <c r="BD129" s="118">
        <f t="shared" si="176"/>
        <v>27</v>
      </c>
      <c r="BE129" s="116">
        <f t="shared" si="176"/>
        <v>34</v>
      </c>
      <c r="BF129" s="119">
        <f t="shared" si="176"/>
        <v>39</v>
      </c>
      <c r="BH129" s="56">
        <f>BH67</f>
        <v>0.58333333333333337</v>
      </c>
      <c r="BI129" s="120">
        <f t="shared" ref="BI129:BO129" si="177">IF(SUM(CM67:CM70)&lt;=0, NA(), SUM(CM67:CM70)/AZ129)</f>
        <v>38.36578947368421</v>
      </c>
      <c r="BJ129" s="121">
        <f t="shared" si="177"/>
        <v>38.564705882352939</v>
      </c>
      <c r="BK129" s="115">
        <f t="shared" si="177"/>
        <v>37.021212121212116</v>
      </c>
      <c r="BL129" s="121">
        <f t="shared" si="177"/>
        <v>38.484482758620693</v>
      </c>
      <c r="BM129" s="115">
        <f t="shared" si="177"/>
        <v>39.033333333333339</v>
      </c>
      <c r="BN129" s="121">
        <f t="shared" si="177"/>
        <v>40.973529411764702</v>
      </c>
      <c r="BO129" s="122">
        <f t="shared" si="177"/>
        <v>38.658974358974362</v>
      </c>
      <c r="BQ129" s="56">
        <f>BQ67</f>
        <v>0.58333333333333337</v>
      </c>
      <c r="BR129" s="120">
        <f t="shared" ref="BR129:BX129" si="178">IFERROR(AVERAGE(BR67:BR70), "")</f>
        <v>50.1</v>
      </c>
      <c r="BS129" s="121">
        <f t="shared" si="178"/>
        <v>47.7</v>
      </c>
      <c r="BT129" s="115" t="str">
        <f t="shared" si="178"/>
        <v/>
      </c>
      <c r="BU129" s="121">
        <f t="shared" si="178"/>
        <v>43.85</v>
      </c>
      <c r="BV129" s="115" t="str">
        <f t="shared" si="178"/>
        <v/>
      </c>
      <c r="BW129" s="121" t="str">
        <f t="shared" si="178"/>
        <v/>
      </c>
      <c r="BX129" s="122">
        <f t="shared" si="178"/>
        <v>49.8</v>
      </c>
      <c r="BZ129" s="66"/>
      <c r="CA129" s="414">
        <f t="shared" si="135"/>
        <v>47.862499999999997</v>
      </c>
      <c r="CB129" s="153">
        <f t="shared" si="142"/>
        <v>60</v>
      </c>
      <c r="CM129" s="115"/>
      <c r="CN129" s="115"/>
      <c r="CO129" s="115"/>
      <c r="CP129" s="115"/>
      <c r="CQ129" s="115"/>
      <c r="CR129" s="115"/>
      <c r="CS129" s="115"/>
      <c r="CY129" s="120">
        <f>SUM(CY67:CY70)</f>
        <v>3.8</v>
      </c>
      <c r="CZ129" s="121">
        <f>SUM(CZ67:CZ70)</f>
        <v>32.4</v>
      </c>
      <c r="DA129" s="115">
        <f>SUM(DA67:DA70)</f>
        <v>3.8</v>
      </c>
      <c r="DB129" s="121">
        <f>SUM(DB67:DB70)</f>
        <v>0.4</v>
      </c>
      <c r="DC129" s="122">
        <f>SUM(DC67:DC70)</f>
        <v>0</v>
      </c>
    </row>
    <row r="130" spans="1:107" ht="15" x14ac:dyDescent="0.25">
      <c r="A130" s="440" t="s">
        <v>41</v>
      </c>
      <c r="B130" s="642">
        <v>0</v>
      </c>
      <c r="C130" s="184">
        <v>0</v>
      </c>
      <c r="D130" s="184">
        <v>0</v>
      </c>
      <c r="E130" s="184">
        <v>0</v>
      </c>
      <c r="F130" s="184">
        <v>0</v>
      </c>
      <c r="G130" s="184">
        <v>0</v>
      </c>
      <c r="H130" s="184">
        <v>0</v>
      </c>
      <c r="I130" s="184">
        <v>0</v>
      </c>
      <c r="J130" s="184">
        <v>0</v>
      </c>
      <c r="K130" s="184">
        <v>0</v>
      </c>
      <c r="L130" s="184">
        <v>0</v>
      </c>
      <c r="M130" s="654" t="s">
        <v>24</v>
      </c>
      <c r="N130" s="670" t="s">
        <v>41</v>
      </c>
      <c r="O130" s="642">
        <v>0</v>
      </c>
      <c r="P130" s="184">
        <v>0</v>
      </c>
      <c r="Q130" s="184">
        <v>0</v>
      </c>
      <c r="R130" s="184">
        <v>0</v>
      </c>
      <c r="S130" s="184">
        <v>0</v>
      </c>
      <c r="T130" s="184">
        <v>0</v>
      </c>
      <c r="U130" s="184">
        <v>0</v>
      </c>
      <c r="V130" s="184">
        <v>0</v>
      </c>
      <c r="W130" s="184">
        <v>0</v>
      </c>
      <c r="X130" s="184">
        <v>0</v>
      </c>
      <c r="Y130" s="184">
        <v>0</v>
      </c>
      <c r="Z130" s="184">
        <v>0</v>
      </c>
      <c r="AA130" s="184">
        <v>0</v>
      </c>
      <c r="AB130" s="184">
        <v>0</v>
      </c>
      <c r="AC130" s="185" t="s">
        <v>24</v>
      </c>
      <c r="AD130" s="185" t="s">
        <v>24</v>
      </c>
      <c r="AE130" s="184">
        <v>0</v>
      </c>
      <c r="AF130" s="185">
        <v>0</v>
      </c>
      <c r="AG130" s="184">
        <v>0</v>
      </c>
      <c r="AH130" s="185">
        <v>0</v>
      </c>
      <c r="AI130" s="184">
        <v>0</v>
      </c>
      <c r="AJ130" s="643">
        <v>0</v>
      </c>
      <c r="AP130" s="116">
        <f>SUM(AP71:AP74)</f>
        <v>25</v>
      </c>
      <c r="AR130" s="56">
        <f>AR71</f>
        <v>0.62499999999999989</v>
      </c>
      <c r="AS130" s="117">
        <f>SUM(AS71:AS74)</f>
        <v>0.71428571428571419</v>
      </c>
      <c r="AT130" s="116">
        <f>SUM(AT71:AT74)</f>
        <v>36.142857142857139</v>
      </c>
      <c r="AU130" s="118">
        <f>SUM(AU71:AU74)</f>
        <v>3.5714285714285712</v>
      </c>
      <c r="AV130" s="116">
        <f>SUM(AV71:AV74)</f>
        <v>0</v>
      </c>
      <c r="AW130" s="119">
        <f>SUM(AW71:AW74)</f>
        <v>0</v>
      </c>
      <c r="AY130" s="56">
        <f>AY71</f>
        <v>0.62499999999999989</v>
      </c>
      <c r="AZ130" s="117">
        <f t="shared" ref="AZ130:BF130" si="179">IF(SUM(AZ71:AZ74)&gt;0, SUM(AZ71:AZ74), NA())</f>
        <v>34</v>
      </c>
      <c r="BA130" s="116">
        <f t="shared" si="179"/>
        <v>49</v>
      </c>
      <c r="BB130" s="118">
        <f t="shared" si="179"/>
        <v>64</v>
      </c>
      <c r="BC130" s="116">
        <f t="shared" si="179"/>
        <v>34</v>
      </c>
      <c r="BD130" s="118">
        <f t="shared" si="179"/>
        <v>24</v>
      </c>
      <c r="BE130" s="116">
        <f t="shared" si="179"/>
        <v>41</v>
      </c>
      <c r="BF130" s="119">
        <f t="shared" si="179"/>
        <v>37</v>
      </c>
      <c r="BH130" s="56">
        <f>BH71</f>
        <v>0.62499999999999989</v>
      </c>
      <c r="BI130" s="120">
        <f t="shared" ref="BI130:BO130" si="180">IF(SUM(CM71:CM74)&lt;=0, NA(), SUM(CM71:CM74)/AZ130)</f>
        <v>41.238235294117644</v>
      </c>
      <c r="BJ130" s="121">
        <f t="shared" si="180"/>
        <v>39.404081632653067</v>
      </c>
      <c r="BK130" s="115">
        <f t="shared" si="180"/>
        <v>38.175000000000004</v>
      </c>
      <c r="BL130" s="121">
        <f t="shared" si="180"/>
        <v>41.141176470588242</v>
      </c>
      <c r="BM130" s="115">
        <f t="shared" si="180"/>
        <v>35.449999999999996</v>
      </c>
      <c r="BN130" s="121">
        <f t="shared" si="180"/>
        <v>40.465853658536581</v>
      </c>
      <c r="BO130" s="122">
        <f t="shared" si="180"/>
        <v>38.537837837837841</v>
      </c>
      <c r="BQ130" s="56">
        <f>BQ71</f>
        <v>0.62499999999999989</v>
      </c>
      <c r="BR130" s="120">
        <f t="shared" ref="BR130:BX130" si="181">IFERROR(AVERAGE(BR71:BR74), "")</f>
        <v>48.05</v>
      </c>
      <c r="BS130" s="121">
        <f t="shared" si="181"/>
        <v>48.166666666666664</v>
      </c>
      <c r="BT130" s="115">
        <f t="shared" si="181"/>
        <v>48.266666666666673</v>
      </c>
      <c r="BU130" s="121">
        <f t="shared" si="181"/>
        <v>50.1</v>
      </c>
      <c r="BV130" s="115" t="str">
        <f t="shared" si="181"/>
        <v/>
      </c>
      <c r="BW130" s="121">
        <f t="shared" si="181"/>
        <v>47.65</v>
      </c>
      <c r="BX130" s="122">
        <f t="shared" si="181"/>
        <v>48.9</v>
      </c>
      <c r="BZ130" s="66"/>
      <c r="CA130" s="414">
        <f t="shared" si="135"/>
        <v>48.522222222222219</v>
      </c>
      <c r="CB130" s="153">
        <f t="shared" si="142"/>
        <v>60</v>
      </c>
      <c r="CM130" s="115"/>
      <c r="CN130" s="115"/>
      <c r="CO130" s="115"/>
      <c r="CP130" s="115"/>
      <c r="CQ130" s="115"/>
      <c r="CR130" s="115"/>
      <c r="CS130" s="115"/>
      <c r="CY130" s="120">
        <f>SUM(CY71:CY74)</f>
        <v>0.60000000000000009</v>
      </c>
      <c r="CZ130" s="121">
        <f>SUM(CZ71:CZ74)</f>
        <v>38.6</v>
      </c>
      <c r="DA130" s="115">
        <f>SUM(DA71:DA74)</f>
        <v>4.4000000000000004</v>
      </c>
      <c r="DB130" s="121">
        <f>SUM(DB71:DB74)</f>
        <v>0</v>
      </c>
      <c r="DC130" s="122">
        <f>SUM(DC71:DC74)</f>
        <v>0</v>
      </c>
    </row>
    <row r="131" spans="1:107" ht="15" x14ac:dyDescent="0.25">
      <c r="A131" s="440" t="s">
        <v>52</v>
      </c>
      <c r="B131" s="642">
        <v>0</v>
      </c>
      <c r="C131" s="184">
        <v>0</v>
      </c>
      <c r="D131" s="184">
        <v>0</v>
      </c>
      <c r="E131" s="184">
        <v>0</v>
      </c>
      <c r="F131" s="184">
        <v>0</v>
      </c>
      <c r="G131" s="184">
        <v>0</v>
      </c>
      <c r="H131" s="184">
        <v>0</v>
      </c>
      <c r="I131" s="184">
        <v>0</v>
      </c>
      <c r="J131" s="184">
        <v>0</v>
      </c>
      <c r="K131" s="184">
        <v>0</v>
      </c>
      <c r="L131" s="184">
        <v>0</v>
      </c>
      <c r="M131" s="654" t="s">
        <v>24</v>
      </c>
      <c r="N131" s="670" t="s">
        <v>52</v>
      </c>
      <c r="O131" s="642">
        <v>0</v>
      </c>
      <c r="P131" s="184">
        <v>0</v>
      </c>
      <c r="Q131" s="184">
        <v>0</v>
      </c>
      <c r="R131" s="184">
        <v>0</v>
      </c>
      <c r="S131" s="184">
        <v>0</v>
      </c>
      <c r="T131" s="184">
        <v>0</v>
      </c>
      <c r="U131" s="184">
        <v>0</v>
      </c>
      <c r="V131" s="184">
        <v>0</v>
      </c>
      <c r="W131" s="184">
        <v>0</v>
      </c>
      <c r="X131" s="184">
        <v>0</v>
      </c>
      <c r="Y131" s="184">
        <v>0</v>
      </c>
      <c r="Z131" s="184">
        <v>0</v>
      </c>
      <c r="AA131" s="184">
        <v>0</v>
      </c>
      <c r="AB131" s="184">
        <v>0</v>
      </c>
      <c r="AC131" s="185" t="s">
        <v>24</v>
      </c>
      <c r="AD131" s="185" t="s">
        <v>24</v>
      </c>
      <c r="AE131" s="184">
        <v>0</v>
      </c>
      <c r="AF131" s="185">
        <v>0</v>
      </c>
      <c r="AG131" s="184">
        <v>0</v>
      </c>
      <c r="AH131" s="185">
        <v>0</v>
      </c>
      <c r="AI131" s="184">
        <v>0</v>
      </c>
      <c r="AJ131" s="643">
        <v>0</v>
      </c>
      <c r="AP131" s="116">
        <f>SUM(AP75:AP78)</f>
        <v>26</v>
      </c>
      <c r="AR131" s="56">
        <f>AR75</f>
        <v>0.66666666666666641</v>
      </c>
      <c r="AS131" s="117">
        <f>SUM(AS75:AS78)</f>
        <v>1.5714285714285712</v>
      </c>
      <c r="AT131" s="116">
        <f>SUM(AT75:AT78)</f>
        <v>43.428571428571431</v>
      </c>
      <c r="AU131" s="118">
        <f>SUM(AU75:AU78)</f>
        <v>3.7142857142857144</v>
      </c>
      <c r="AV131" s="116">
        <f>SUM(AV75:AV78)</f>
        <v>0</v>
      </c>
      <c r="AW131" s="119">
        <f>SUM(AW75:AW78)</f>
        <v>0</v>
      </c>
      <c r="AY131" s="56">
        <f>AY75</f>
        <v>0.66666666666666641</v>
      </c>
      <c r="AZ131" s="117">
        <f t="shared" ref="AZ131:BF131" si="182">IF(SUM(AZ75:AZ78)&gt;0, SUM(AZ75:AZ78), NA())</f>
        <v>37</v>
      </c>
      <c r="BA131" s="116">
        <f t="shared" si="182"/>
        <v>46</v>
      </c>
      <c r="BB131" s="118">
        <f t="shared" si="182"/>
        <v>55</v>
      </c>
      <c r="BC131" s="116">
        <f t="shared" si="182"/>
        <v>55</v>
      </c>
      <c r="BD131" s="118">
        <f t="shared" si="182"/>
        <v>43</v>
      </c>
      <c r="BE131" s="116">
        <f t="shared" si="182"/>
        <v>57</v>
      </c>
      <c r="BF131" s="119">
        <f t="shared" si="182"/>
        <v>48</v>
      </c>
      <c r="BH131" s="56">
        <f>BH75</f>
        <v>0.66666666666666641</v>
      </c>
      <c r="BI131" s="120">
        <f t="shared" ref="BI131:BO131" si="183">IF(SUM(CM75:CM78)&lt;=0, NA(), SUM(CM75:CM78)/AZ131)</f>
        <v>38.797297297297298</v>
      </c>
      <c r="BJ131" s="121">
        <f t="shared" si="183"/>
        <v>39.4</v>
      </c>
      <c r="BK131" s="115">
        <f t="shared" si="183"/>
        <v>37.945454545454552</v>
      </c>
      <c r="BL131" s="121">
        <f t="shared" si="183"/>
        <v>41.958181818181814</v>
      </c>
      <c r="BM131" s="115">
        <f t="shared" si="183"/>
        <v>38.881395348837209</v>
      </c>
      <c r="BN131" s="121">
        <f t="shared" si="183"/>
        <v>39.536842105263155</v>
      </c>
      <c r="BO131" s="122">
        <f t="shared" si="183"/>
        <v>38.84791666666667</v>
      </c>
      <c r="BQ131" s="56">
        <f>BQ75</f>
        <v>0.66666666666666641</v>
      </c>
      <c r="BR131" s="120">
        <f t="shared" ref="BR131:BX131" si="184">IFERROR(AVERAGE(BR75:BR78), "")</f>
        <v>45.25</v>
      </c>
      <c r="BS131" s="121">
        <f t="shared" si="184"/>
        <v>44.6</v>
      </c>
      <c r="BT131" s="115">
        <f t="shared" si="184"/>
        <v>46.733333333333327</v>
      </c>
      <c r="BU131" s="121">
        <f t="shared" si="184"/>
        <v>48.900000000000006</v>
      </c>
      <c r="BV131" s="115">
        <f t="shared" si="184"/>
        <v>42.4</v>
      </c>
      <c r="BW131" s="121">
        <f t="shared" si="184"/>
        <v>47.6</v>
      </c>
      <c r="BX131" s="122">
        <f t="shared" si="184"/>
        <v>43.95</v>
      </c>
      <c r="BZ131" s="66"/>
      <c r="CA131" s="414">
        <f t="shared" si="135"/>
        <v>45.633333333333333</v>
      </c>
      <c r="CB131" s="153">
        <f t="shared" si="142"/>
        <v>60</v>
      </c>
      <c r="CM131" s="115"/>
      <c r="CN131" s="115"/>
      <c r="CO131" s="115"/>
      <c r="CP131" s="115"/>
      <c r="CQ131" s="115"/>
      <c r="CR131" s="115"/>
      <c r="CS131" s="115"/>
      <c r="CY131" s="120">
        <f>SUM(CY75:CY78)</f>
        <v>2</v>
      </c>
      <c r="CZ131" s="121">
        <f>SUM(CZ75:CZ78)</f>
        <v>41.8</v>
      </c>
      <c r="DA131" s="115">
        <f>SUM(DA75:DA78)</f>
        <v>4.4000000000000004</v>
      </c>
      <c r="DB131" s="121">
        <f>SUM(DB75:DB78)</f>
        <v>0</v>
      </c>
      <c r="DC131" s="122">
        <f>SUM(DC75:DC78)</f>
        <v>0</v>
      </c>
    </row>
    <row r="132" spans="1:107" ht="15" x14ac:dyDescent="0.25">
      <c r="A132" s="440" t="s">
        <v>54</v>
      </c>
      <c r="B132" s="642">
        <v>0</v>
      </c>
      <c r="C132" s="184">
        <v>0</v>
      </c>
      <c r="D132" s="184">
        <v>0</v>
      </c>
      <c r="E132" s="184">
        <v>0</v>
      </c>
      <c r="F132" s="184">
        <v>0</v>
      </c>
      <c r="G132" s="184">
        <v>0</v>
      </c>
      <c r="H132" s="184">
        <v>0</v>
      </c>
      <c r="I132" s="184">
        <v>0</v>
      </c>
      <c r="J132" s="184">
        <v>0</v>
      </c>
      <c r="K132" s="184">
        <v>0</v>
      </c>
      <c r="L132" s="184">
        <v>0</v>
      </c>
      <c r="M132" s="654" t="s">
        <v>24</v>
      </c>
      <c r="N132" s="670" t="s">
        <v>54</v>
      </c>
      <c r="O132" s="642">
        <v>0</v>
      </c>
      <c r="P132" s="184">
        <v>0</v>
      </c>
      <c r="Q132" s="184">
        <v>0</v>
      </c>
      <c r="R132" s="184">
        <v>0</v>
      </c>
      <c r="S132" s="184">
        <v>0</v>
      </c>
      <c r="T132" s="184">
        <v>0</v>
      </c>
      <c r="U132" s="184">
        <v>0</v>
      </c>
      <c r="V132" s="184">
        <v>0</v>
      </c>
      <c r="W132" s="184">
        <v>0</v>
      </c>
      <c r="X132" s="184">
        <v>0</v>
      </c>
      <c r="Y132" s="184">
        <v>0</v>
      </c>
      <c r="Z132" s="184">
        <v>0</v>
      </c>
      <c r="AA132" s="184">
        <v>0</v>
      </c>
      <c r="AB132" s="184">
        <v>0</v>
      </c>
      <c r="AC132" s="185" t="s">
        <v>24</v>
      </c>
      <c r="AD132" s="185" t="s">
        <v>24</v>
      </c>
      <c r="AE132" s="184">
        <v>0</v>
      </c>
      <c r="AF132" s="185">
        <v>0</v>
      </c>
      <c r="AG132" s="184">
        <v>0</v>
      </c>
      <c r="AH132" s="185">
        <v>0</v>
      </c>
      <c r="AI132" s="184">
        <v>0</v>
      </c>
      <c r="AJ132" s="643">
        <v>0</v>
      </c>
      <c r="AP132" s="116">
        <f>SUM(AP79:AP82)</f>
        <v>22</v>
      </c>
      <c r="AR132" s="56">
        <f>AR79</f>
        <v>0.70833333333333293</v>
      </c>
      <c r="AS132" s="117">
        <f>SUM(AS79:AS82)</f>
        <v>0.5714285714285714</v>
      </c>
      <c r="AT132" s="116">
        <f>SUM(AT79:AT82)</f>
        <v>36.571428571428577</v>
      </c>
      <c r="AU132" s="118">
        <f>SUM(AU79:AU82)</f>
        <v>3.2857142857142856</v>
      </c>
      <c r="AV132" s="116">
        <f>SUM(AV79:AV82)</f>
        <v>0</v>
      </c>
      <c r="AW132" s="119">
        <f>SUM(AW79:AW82)</f>
        <v>0.14285714285714285</v>
      </c>
      <c r="AY132" s="56">
        <f>AY79</f>
        <v>0.70833333333333293</v>
      </c>
      <c r="AZ132" s="117">
        <f t="shared" ref="AZ132:BF132" si="185">IF(SUM(AZ79:AZ82)&gt;0, SUM(AZ79:AZ82), NA())</f>
        <v>49</v>
      </c>
      <c r="BA132" s="116">
        <f t="shared" si="185"/>
        <v>40</v>
      </c>
      <c r="BB132" s="118">
        <f t="shared" si="185"/>
        <v>39</v>
      </c>
      <c r="BC132" s="116">
        <f t="shared" si="185"/>
        <v>40</v>
      </c>
      <c r="BD132" s="118">
        <f t="shared" si="185"/>
        <v>21</v>
      </c>
      <c r="BE132" s="116">
        <f t="shared" si="185"/>
        <v>43</v>
      </c>
      <c r="BF132" s="119">
        <f t="shared" si="185"/>
        <v>52</v>
      </c>
      <c r="BH132" s="56">
        <f>BH79</f>
        <v>0.70833333333333293</v>
      </c>
      <c r="BI132" s="120">
        <f t="shared" ref="BI132:BO132" si="186">IF(SUM(CM79:CM82)&lt;=0, NA(), SUM(CM79:CM82)/AZ132)</f>
        <v>40.038775510204076</v>
      </c>
      <c r="BJ132" s="121">
        <f t="shared" si="186"/>
        <v>42.142499999999998</v>
      </c>
      <c r="BK132" s="115">
        <f t="shared" si="186"/>
        <v>41.930769230769236</v>
      </c>
      <c r="BL132" s="121">
        <f t="shared" si="186"/>
        <v>39.89</v>
      </c>
      <c r="BM132" s="115">
        <f t="shared" si="186"/>
        <v>39.11904761904762</v>
      </c>
      <c r="BN132" s="121">
        <f t="shared" si="186"/>
        <v>39.830232558139535</v>
      </c>
      <c r="BO132" s="122">
        <f t="shared" si="186"/>
        <v>41.301923076923075</v>
      </c>
      <c r="BQ132" s="56">
        <f>BQ79</f>
        <v>0.70833333333333293</v>
      </c>
      <c r="BR132" s="120">
        <f t="shared" ref="BR132:BX132" si="187">IFERROR(AVERAGE(BR79:BR82), "")</f>
        <v>45.900000000000006</v>
      </c>
      <c r="BS132" s="121">
        <f t="shared" si="187"/>
        <v>51.9</v>
      </c>
      <c r="BT132" s="115">
        <f t="shared" si="187"/>
        <v>49.8</v>
      </c>
      <c r="BU132" s="121">
        <f t="shared" si="187"/>
        <v>48.05</v>
      </c>
      <c r="BV132" s="115" t="str">
        <f t="shared" si="187"/>
        <v/>
      </c>
      <c r="BW132" s="121">
        <f t="shared" si="187"/>
        <v>43.8</v>
      </c>
      <c r="BX132" s="122">
        <f t="shared" si="187"/>
        <v>50.333333333333336</v>
      </c>
      <c r="BZ132" s="66"/>
      <c r="CA132" s="414">
        <f t="shared" si="135"/>
        <v>48.297222222222224</v>
      </c>
      <c r="CB132" s="153">
        <f t="shared" si="142"/>
        <v>60</v>
      </c>
      <c r="CM132" s="115"/>
      <c r="CN132" s="115"/>
      <c r="CO132" s="115"/>
      <c r="CP132" s="115"/>
      <c r="CQ132" s="115"/>
      <c r="CR132" s="115"/>
      <c r="CS132" s="115"/>
      <c r="CY132" s="120">
        <f>SUM(CY79:CY82)</f>
        <v>0.8</v>
      </c>
      <c r="CZ132" s="121">
        <f>SUM(CZ79:CZ82)</f>
        <v>39.200000000000003</v>
      </c>
      <c r="DA132" s="115">
        <f>SUM(DA79:DA82)</f>
        <v>3.8</v>
      </c>
      <c r="DB132" s="121">
        <f>SUM(DB79:DB82)</f>
        <v>0</v>
      </c>
      <c r="DC132" s="122">
        <f>SUM(DC79:DC82)</f>
        <v>0.2</v>
      </c>
    </row>
    <row r="133" spans="1:107" ht="15" x14ac:dyDescent="0.25">
      <c r="A133" s="440" t="s">
        <v>56</v>
      </c>
      <c r="B133" s="642">
        <v>0</v>
      </c>
      <c r="C133" s="184">
        <v>0</v>
      </c>
      <c r="D133" s="184">
        <v>0</v>
      </c>
      <c r="E133" s="184">
        <v>0</v>
      </c>
      <c r="F133" s="184">
        <v>0</v>
      </c>
      <c r="G133" s="184">
        <v>0</v>
      </c>
      <c r="H133" s="184">
        <v>0</v>
      </c>
      <c r="I133" s="184">
        <v>0</v>
      </c>
      <c r="J133" s="184">
        <v>0</v>
      </c>
      <c r="K133" s="184">
        <v>0</v>
      </c>
      <c r="L133" s="184">
        <v>0</v>
      </c>
      <c r="M133" s="654" t="s">
        <v>24</v>
      </c>
      <c r="N133" s="670" t="s">
        <v>56</v>
      </c>
      <c r="O133" s="642">
        <v>0</v>
      </c>
      <c r="P133" s="184">
        <v>0</v>
      </c>
      <c r="Q133" s="184">
        <v>0</v>
      </c>
      <c r="R133" s="184">
        <v>0</v>
      </c>
      <c r="S133" s="184">
        <v>0</v>
      </c>
      <c r="T133" s="184">
        <v>0</v>
      </c>
      <c r="U133" s="184">
        <v>0</v>
      </c>
      <c r="V133" s="184">
        <v>0</v>
      </c>
      <c r="W133" s="184">
        <v>0</v>
      </c>
      <c r="X133" s="184">
        <v>0</v>
      </c>
      <c r="Y133" s="184">
        <v>0</v>
      </c>
      <c r="Z133" s="184">
        <v>0</v>
      </c>
      <c r="AA133" s="184">
        <v>0</v>
      </c>
      <c r="AB133" s="184">
        <v>0</v>
      </c>
      <c r="AC133" s="185" t="s">
        <v>24</v>
      </c>
      <c r="AD133" s="185" t="s">
        <v>24</v>
      </c>
      <c r="AE133" s="184">
        <v>0</v>
      </c>
      <c r="AF133" s="185">
        <v>0</v>
      </c>
      <c r="AG133" s="184">
        <v>0</v>
      </c>
      <c r="AH133" s="185">
        <v>0</v>
      </c>
      <c r="AI133" s="184">
        <v>0</v>
      </c>
      <c r="AJ133" s="643">
        <v>0</v>
      </c>
      <c r="AP133" s="116">
        <f>SUM(AP83:AP86)</f>
        <v>16</v>
      </c>
      <c r="AR133" s="56">
        <f>AR83</f>
        <v>0.74999999999999944</v>
      </c>
      <c r="AS133" s="130">
        <f>SUM(AS83:AS86)</f>
        <v>1.2857142857142856</v>
      </c>
      <c r="AT133" s="131">
        <f>SUM(AT83:AT86)</f>
        <v>29.857142857142854</v>
      </c>
      <c r="AU133" s="132">
        <f>SUM(AU83:AU86)</f>
        <v>2.2857142857142856</v>
      </c>
      <c r="AV133" s="131">
        <f>SUM(AV83:AV86)</f>
        <v>0</v>
      </c>
      <c r="AW133" s="133">
        <f>SUM(AW83:AW86)</f>
        <v>0</v>
      </c>
      <c r="AY133" s="56">
        <f>AY83</f>
        <v>0.74999999999999944</v>
      </c>
      <c r="AZ133" s="130">
        <f t="shared" ref="AZ133:BF133" si="188">IF(SUM(AZ83:AZ86)&gt;0, SUM(AZ83:AZ86), NA())</f>
        <v>30</v>
      </c>
      <c r="BA133" s="131">
        <f t="shared" si="188"/>
        <v>44</v>
      </c>
      <c r="BB133" s="132">
        <f t="shared" si="188"/>
        <v>26</v>
      </c>
      <c r="BC133" s="131">
        <f t="shared" si="188"/>
        <v>42</v>
      </c>
      <c r="BD133" s="132">
        <f t="shared" si="188"/>
        <v>28</v>
      </c>
      <c r="BE133" s="131">
        <f t="shared" si="188"/>
        <v>35</v>
      </c>
      <c r="BF133" s="133">
        <f t="shared" si="188"/>
        <v>29</v>
      </c>
      <c r="BH133" s="56">
        <f>BH83</f>
        <v>0.74999999999999944</v>
      </c>
      <c r="BI133" s="134">
        <f t="shared" ref="BI133:BO133" si="189">IF(SUM(CM83:CM86)&lt;=0, NA(), SUM(CM83:CM86)/AZ133)</f>
        <v>40.980000000000004</v>
      </c>
      <c r="BJ133" s="135">
        <f t="shared" si="189"/>
        <v>40.170454545454554</v>
      </c>
      <c r="BK133" s="136">
        <f t="shared" si="189"/>
        <v>44.407692307692301</v>
      </c>
      <c r="BL133" s="135">
        <f t="shared" si="189"/>
        <v>39.426190476190477</v>
      </c>
      <c r="BM133" s="136">
        <f t="shared" si="189"/>
        <v>38.278571428571425</v>
      </c>
      <c r="BN133" s="135">
        <f t="shared" si="189"/>
        <v>37.717142857142861</v>
      </c>
      <c r="BO133" s="137">
        <f t="shared" si="189"/>
        <v>40.741379310344826</v>
      </c>
      <c r="BQ133" s="56">
        <f>BQ83</f>
        <v>0.74999999999999944</v>
      </c>
      <c r="BR133" s="134">
        <f t="shared" ref="BR133:BX133" si="190">IFERROR(AVERAGE(BR83:BR86), "")</f>
        <v>50.9</v>
      </c>
      <c r="BS133" s="135">
        <f t="shared" si="190"/>
        <v>46.3</v>
      </c>
      <c r="BT133" s="136" t="str">
        <f t="shared" si="190"/>
        <v/>
      </c>
      <c r="BU133" s="135">
        <f t="shared" si="190"/>
        <v>49.95</v>
      </c>
      <c r="BV133" s="136" t="str">
        <f t="shared" si="190"/>
        <v/>
      </c>
      <c r="BW133" s="135">
        <f t="shared" si="190"/>
        <v>46.1</v>
      </c>
      <c r="BX133" s="137" t="str">
        <f t="shared" si="190"/>
        <v/>
      </c>
      <c r="BZ133" s="66"/>
      <c r="CA133" s="414">
        <f t="shared" si="135"/>
        <v>48.312499999999993</v>
      </c>
      <c r="CB133" s="153">
        <f t="shared" si="142"/>
        <v>60</v>
      </c>
      <c r="CM133" s="115"/>
      <c r="CN133" s="115"/>
      <c r="CO133" s="115"/>
      <c r="CP133" s="115"/>
      <c r="CQ133" s="115"/>
      <c r="CR133" s="115"/>
      <c r="CS133" s="115"/>
      <c r="CY133" s="134">
        <f>SUM(CY83:CY86)</f>
        <v>1.2</v>
      </c>
      <c r="CZ133" s="135">
        <f>SUM(CZ83:CZ86)</f>
        <v>30.000000000000004</v>
      </c>
      <c r="DA133" s="136">
        <f>SUM(DA83:DA86)</f>
        <v>3</v>
      </c>
      <c r="DB133" s="135">
        <f>SUM(DB83:DB86)</f>
        <v>0</v>
      </c>
      <c r="DC133" s="137">
        <f>SUM(DC83:DC86)</f>
        <v>0</v>
      </c>
    </row>
    <row r="134" spans="1:107" ht="15" x14ac:dyDescent="0.25">
      <c r="A134" s="440" t="s">
        <v>43</v>
      </c>
      <c r="B134" s="642">
        <v>0</v>
      </c>
      <c r="C134" s="184">
        <v>0</v>
      </c>
      <c r="D134" s="184">
        <v>0</v>
      </c>
      <c r="E134" s="184">
        <v>0</v>
      </c>
      <c r="F134" s="184">
        <v>0</v>
      </c>
      <c r="G134" s="184">
        <v>0</v>
      </c>
      <c r="H134" s="184">
        <v>0</v>
      </c>
      <c r="I134" s="184">
        <v>0</v>
      </c>
      <c r="J134" s="184">
        <v>0</v>
      </c>
      <c r="K134" s="184">
        <v>0</v>
      </c>
      <c r="L134" s="184">
        <v>0</v>
      </c>
      <c r="M134" s="654" t="s">
        <v>24</v>
      </c>
      <c r="N134" s="670" t="s">
        <v>43</v>
      </c>
      <c r="O134" s="642">
        <v>0</v>
      </c>
      <c r="P134" s="184">
        <v>0</v>
      </c>
      <c r="Q134" s="184">
        <v>0</v>
      </c>
      <c r="R134" s="184">
        <v>0</v>
      </c>
      <c r="S134" s="184">
        <v>0</v>
      </c>
      <c r="T134" s="184">
        <v>0</v>
      </c>
      <c r="U134" s="184">
        <v>0</v>
      </c>
      <c r="V134" s="184">
        <v>0</v>
      </c>
      <c r="W134" s="184">
        <v>0</v>
      </c>
      <c r="X134" s="184">
        <v>0</v>
      </c>
      <c r="Y134" s="184">
        <v>0</v>
      </c>
      <c r="Z134" s="184">
        <v>0</v>
      </c>
      <c r="AA134" s="184">
        <v>0</v>
      </c>
      <c r="AB134" s="184">
        <v>0</v>
      </c>
      <c r="AC134" s="185" t="s">
        <v>24</v>
      </c>
      <c r="AD134" s="185" t="s">
        <v>24</v>
      </c>
      <c r="AE134" s="184">
        <v>0</v>
      </c>
      <c r="AF134" s="185">
        <v>0</v>
      </c>
      <c r="AG134" s="184">
        <v>0</v>
      </c>
      <c r="AH134" s="185">
        <v>0</v>
      </c>
      <c r="AI134" s="184">
        <v>0</v>
      </c>
      <c r="AJ134" s="643">
        <v>0</v>
      </c>
      <c r="AP134" s="116">
        <f>SUM(AP87:AP90)</f>
        <v>9</v>
      </c>
      <c r="AR134" s="56">
        <f>AR87</f>
        <v>0.79166666666666596</v>
      </c>
      <c r="AS134" s="117">
        <f>SUM(AS87:AS90)</f>
        <v>0.2857142857142857</v>
      </c>
      <c r="AT134" s="116">
        <f>SUM(AT87:AT90)</f>
        <v>24.428571428571431</v>
      </c>
      <c r="AU134" s="118">
        <f>SUM(AU87:AU90)</f>
        <v>1.2857142857142856</v>
      </c>
      <c r="AV134" s="116">
        <f>SUM(AV87:AV90)</f>
        <v>0</v>
      </c>
      <c r="AW134" s="119">
        <f>SUM(AW87:AW90)</f>
        <v>0</v>
      </c>
      <c r="AY134" s="56">
        <f>AY87</f>
        <v>0.79166666666666596</v>
      </c>
      <c r="AZ134" s="117">
        <f t="shared" ref="AZ134:BF134" si="191">IF(SUM(AZ87:AZ90)&gt;0, SUM(AZ87:AZ90), NA())</f>
        <v>22</v>
      </c>
      <c r="BA134" s="116">
        <f t="shared" si="191"/>
        <v>36</v>
      </c>
      <c r="BB134" s="118">
        <f t="shared" si="191"/>
        <v>25</v>
      </c>
      <c r="BC134" s="116">
        <f t="shared" si="191"/>
        <v>32</v>
      </c>
      <c r="BD134" s="118">
        <f t="shared" si="191"/>
        <v>23</v>
      </c>
      <c r="BE134" s="116">
        <f t="shared" si="191"/>
        <v>17</v>
      </c>
      <c r="BF134" s="119">
        <f t="shared" si="191"/>
        <v>27</v>
      </c>
      <c r="BH134" s="56">
        <f>BH87</f>
        <v>0.79166666666666596</v>
      </c>
      <c r="BI134" s="120">
        <f t="shared" ref="BI134:BO134" si="192">IF(SUM(CM87:CM90)&lt;=0, NA(), SUM(CM87:CM90)/AZ134)</f>
        <v>41.709090909090911</v>
      </c>
      <c r="BJ134" s="121">
        <f t="shared" si="192"/>
        <v>41.522222222222226</v>
      </c>
      <c r="BK134" s="115">
        <f t="shared" si="192"/>
        <v>44.608000000000004</v>
      </c>
      <c r="BL134" s="121">
        <f t="shared" si="192"/>
        <v>42.693750000000009</v>
      </c>
      <c r="BM134" s="115">
        <f t="shared" si="192"/>
        <v>39.021739130434774</v>
      </c>
      <c r="BN134" s="121">
        <f t="shared" si="192"/>
        <v>38.129411764705885</v>
      </c>
      <c r="BO134" s="122">
        <f t="shared" si="192"/>
        <v>38.944444444444443</v>
      </c>
      <c r="BQ134" s="56">
        <f>BQ87</f>
        <v>0.79166666666666596</v>
      </c>
      <c r="BR134" s="120" t="str">
        <f t="shared" ref="BR134:BX134" si="193">IFERROR(AVERAGE(BR87:BR90), "")</f>
        <v/>
      </c>
      <c r="BS134" s="121">
        <f t="shared" si="193"/>
        <v>47</v>
      </c>
      <c r="BT134" s="115" t="str">
        <f t="shared" si="193"/>
        <v/>
      </c>
      <c r="BU134" s="121">
        <f t="shared" si="193"/>
        <v>49.9</v>
      </c>
      <c r="BV134" s="115" t="str">
        <f t="shared" si="193"/>
        <v/>
      </c>
      <c r="BW134" s="121" t="str">
        <f t="shared" si="193"/>
        <v/>
      </c>
      <c r="BX134" s="122" t="str">
        <f t="shared" si="193"/>
        <v/>
      </c>
      <c r="BZ134" s="66"/>
      <c r="CA134" s="414">
        <f t="shared" si="135"/>
        <v>48.45</v>
      </c>
      <c r="CB134" s="153">
        <f t="shared" si="142"/>
        <v>60</v>
      </c>
      <c r="CM134" s="115"/>
      <c r="CN134" s="115"/>
      <c r="CO134" s="115"/>
      <c r="CP134" s="115"/>
      <c r="CQ134" s="115"/>
      <c r="CR134" s="115"/>
      <c r="CS134" s="115"/>
      <c r="CY134" s="120">
        <f>SUM(CY87:CY90)</f>
        <v>0.4</v>
      </c>
      <c r="CZ134" s="121">
        <f>SUM(CZ87:CZ90)</f>
        <v>26.4</v>
      </c>
      <c r="DA134" s="115">
        <f>SUM(DA87:DA90)</f>
        <v>1.6</v>
      </c>
      <c r="DB134" s="121">
        <f>SUM(DB87:DB90)</f>
        <v>0</v>
      </c>
      <c r="DC134" s="122">
        <f>SUM(DC87:DC90)</f>
        <v>0</v>
      </c>
    </row>
    <row r="135" spans="1:107" ht="15" x14ac:dyDescent="0.25">
      <c r="A135" s="440" t="s">
        <v>59</v>
      </c>
      <c r="B135" s="642">
        <v>1</v>
      </c>
      <c r="C135" s="184">
        <v>0</v>
      </c>
      <c r="D135" s="184">
        <v>1</v>
      </c>
      <c r="E135" s="184">
        <v>0</v>
      </c>
      <c r="F135" s="184">
        <v>0</v>
      </c>
      <c r="G135" s="184">
        <v>0</v>
      </c>
      <c r="H135" s="184">
        <v>0</v>
      </c>
      <c r="I135" s="184">
        <v>0</v>
      </c>
      <c r="J135" s="184">
        <v>0</v>
      </c>
      <c r="K135" s="184">
        <v>0</v>
      </c>
      <c r="L135" s="184">
        <v>0</v>
      </c>
      <c r="M135" s="654" t="s">
        <v>24</v>
      </c>
      <c r="N135" s="670" t="s">
        <v>59</v>
      </c>
      <c r="O135" s="642">
        <v>0</v>
      </c>
      <c r="P135" s="184">
        <v>0</v>
      </c>
      <c r="Q135" s="184">
        <v>0</v>
      </c>
      <c r="R135" s="184">
        <v>0</v>
      </c>
      <c r="S135" s="184">
        <v>0</v>
      </c>
      <c r="T135" s="184">
        <v>0</v>
      </c>
      <c r="U135" s="184">
        <v>1</v>
      </c>
      <c r="V135" s="184">
        <v>0</v>
      </c>
      <c r="W135" s="184">
        <v>0</v>
      </c>
      <c r="X135" s="184">
        <v>0</v>
      </c>
      <c r="Y135" s="184">
        <v>0</v>
      </c>
      <c r="Z135" s="184">
        <v>0</v>
      </c>
      <c r="AA135" s="184">
        <v>0</v>
      </c>
      <c r="AB135" s="184">
        <v>0</v>
      </c>
      <c r="AC135" s="185">
        <v>39.6</v>
      </c>
      <c r="AD135" s="185" t="s">
        <v>24</v>
      </c>
      <c r="AE135" s="184">
        <v>0</v>
      </c>
      <c r="AF135" s="185">
        <v>0</v>
      </c>
      <c r="AG135" s="184">
        <v>0</v>
      </c>
      <c r="AH135" s="185">
        <v>0</v>
      </c>
      <c r="AI135" s="184">
        <v>0</v>
      </c>
      <c r="AJ135" s="643">
        <v>0</v>
      </c>
      <c r="AP135" s="116">
        <f>SUM(AP91:AP94)</f>
        <v>7</v>
      </c>
      <c r="AR135" s="56">
        <f>AR91</f>
        <v>0.83333333333333248</v>
      </c>
      <c r="AS135" s="117">
        <f>SUM(AS91:AS94)</f>
        <v>0</v>
      </c>
      <c r="AT135" s="116">
        <f>SUM(AT91:AT94)</f>
        <v>16.857142857142858</v>
      </c>
      <c r="AU135" s="118">
        <f>SUM(AU91:AU94)</f>
        <v>1</v>
      </c>
      <c r="AV135" s="116">
        <f>SUM(AV91:AV94)</f>
        <v>0</v>
      </c>
      <c r="AW135" s="119">
        <f>SUM(AW91:AW94)</f>
        <v>0</v>
      </c>
      <c r="AY135" s="56">
        <f>AY91</f>
        <v>0.83333333333333248</v>
      </c>
      <c r="AZ135" s="117">
        <f t="shared" ref="AZ135:BF135" si="194">IF(SUM(AZ91:AZ94)&gt;0, SUM(AZ91:AZ94), NA())</f>
        <v>21</v>
      </c>
      <c r="BA135" s="116">
        <f t="shared" si="194"/>
        <v>12</v>
      </c>
      <c r="BB135" s="118">
        <f t="shared" si="194"/>
        <v>22</v>
      </c>
      <c r="BC135" s="116">
        <f t="shared" si="194"/>
        <v>23</v>
      </c>
      <c r="BD135" s="118">
        <f t="shared" si="194"/>
        <v>14</v>
      </c>
      <c r="BE135" s="116">
        <f t="shared" si="194"/>
        <v>18</v>
      </c>
      <c r="BF135" s="119">
        <f t="shared" si="194"/>
        <v>15</v>
      </c>
      <c r="BH135" s="56">
        <f>BH91</f>
        <v>0.83333333333333248</v>
      </c>
      <c r="BI135" s="120">
        <f t="shared" ref="BI135:BO135" si="195">IF(SUM(CM91:CM94)&lt;=0, NA(), SUM(CM91:CM94)/AZ135)</f>
        <v>43.090476190476188</v>
      </c>
      <c r="BJ135" s="121">
        <f t="shared" si="195"/>
        <v>40.599999999999994</v>
      </c>
      <c r="BK135" s="115">
        <f t="shared" si="195"/>
        <v>40.927272727272729</v>
      </c>
      <c r="BL135" s="121">
        <f t="shared" si="195"/>
        <v>43.004347826086949</v>
      </c>
      <c r="BM135" s="115">
        <f t="shared" si="195"/>
        <v>40.785714285714285</v>
      </c>
      <c r="BN135" s="121">
        <f t="shared" si="195"/>
        <v>39.555555555555557</v>
      </c>
      <c r="BO135" s="122">
        <f t="shared" si="195"/>
        <v>40.873333333333335</v>
      </c>
      <c r="BQ135" s="56">
        <f>BQ91</f>
        <v>0.83333333333333248</v>
      </c>
      <c r="BR135" s="120" t="str">
        <f t="shared" ref="BR135:BX135" si="196">IFERROR(AVERAGE(BR91:BR94), "")</f>
        <v/>
      </c>
      <c r="BS135" s="121" t="str">
        <f t="shared" si="196"/>
        <v/>
      </c>
      <c r="BT135" s="115" t="str">
        <f t="shared" si="196"/>
        <v/>
      </c>
      <c r="BU135" s="121" t="str">
        <f t="shared" si="196"/>
        <v/>
      </c>
      <c r="BV135" s="115" t="str">
        <f t="shared" si="196"/>
        <v/>
      </c>
      <c r="BW135" s="121" t="str">
        <f t="shared" si="196"/>
        <v/>
      </c>
      <c r="BX135" s="122" t="str">
        <f t="shared" si="196"/>
        <v/>
      </c>
      <c r="BZ135" s="66"/>
      <c r="CA135" s="414" t="e">
        <f t="shared" si="135"/>
        <v>#N/A</v>
      </c>
      <c r="CB135" s="153">
        <f t="shared" si="142"/>
        <v>60</v>
      </c>
      <c r="CM135" s="115"/>
      <c r="CN135" s="115"/>
      <c r="CO135" s="115"/>
      <c r="CP135" s="115"/>
      <c r="CQ135" s="115"/>
      <c r="CR135" s="115"/>
      <c r="CS135" s="115"/>
      <c r="CY135" s="120">
        <f>SUM(CY91:CY94)</f>
        <v>0</v>
      </c>
      <c r="CZ135" s="121">
        <f>SUM(CZ91:CZ94)</f>
        <v>17.400000000000002</v>
      </c>
      <c r="DA135" s="115">
        <f>SUM(DA91:DA94)</f>
        <v>1.2000000000000002</v>
      </c>
      <c r="DB135" s="121">
        <f>SUM(DB91:DB94)</f>
        <v>0</v>
      </c>
      <c r="DC135" s="122">
        <f>SUM(DC91:DC94)</f>
        <v>0</v>
      </c>
    </row>
    <row r="136" spans="1:107" ht="15" x14ac:dyDescent="0.25">
      <c r="A136" s="440" t="s">
        <v>61</v>
      </c>
      <c r="B136" s="642">
        <v>0</v>
      </c>
      <c r="C136" s="184">
        <v>0</v>
      </c>
      <c r="D136" s="184">
        <v>0</v>
      </c>
      <c r="E136" s="184">
        <v>0</v>
      </c>
      <c r="F136" s="184">
        <v>0</v>
      </c>
      <c r="G136" s="184">
        <v>0</v>
      </c>
      <c r="H136" s="184">
        <v>0</v>
      </c>
      <c r="I136" s="184">
        <v>0</v>
      </c>
      <c r="J136" s="184">
        <v>0</v>
      </c>
      <c r="K136" s="184">
        <v>0</v>
      </c>
      <c r="L136" s="184">
        <v>0</v>
      </c>
      <c r="M136" s="654" t="s">
        <v>24</v>
      </c>
      <c r="N136" s="670" t="s">
        <v>61</v>
      </c>
      <c r="O136" s="642">
        <v>0</v>
      </c>
      <c r="P136" s="184">
        <v>0</v>
      </c>
      <c r="Q136" s="184">
        <v>0</v>
      </c>
      <c r="R136" s="184">
        <v>0</v>
      </c>
      <c r="S136" s="184">
        <v>0</v>
      </c>
      <c r="T136" s="184">
        <v>0</v>
      </c>
      <c r="U136" s="184">
        <v>0</v>
      </c>
      <c r="V136" s="184">
        <v>0</v>
      </c>
      <c r="W136" s="184">
        <v>0</v>
      </c>
      <c r="X136" s="184">
        <v>0</v>
      </c>
      <c r="Y136" s="184">
        <v>0</v>
      </c>
      <c r="Z136" s="184">
        <v>0</v>
      </c>
      <c r="AA136" s="184">
        <v>0</v>
      </c>
      <c r="AB136" s="184">
        <v>0</v>
      </c>
      <c r="AC136" s="185" t="s">
        <v>24</v>
      </c>
      <c r="AD136" s="185" t="s">
        <v>24</v>
      </c>
      <c r="AE136" s="184">
        <v>0</v>
      </c>
      <c r="AF136" s="185">
        <v>0</v>
      </c>
      <c r="AG136" s="184">
        <v>0</v>
      </c>
      <c r="AH136" s="185">
        <v>0</v>
      </c>
      <c r="AI136" s="184">
        <v>0</v>
      </c>
      <c r="AJ136" s="643">
        <v>0</v>
      </c>
      <c r="AP136" s="116">
        <f>SUM(AP95:AP98)</f>
        <v>6</v>
      </c>
      <c r="AR136" s="56">
        <f>AR95</f>
        <v>0.874999999999999</v>
      </c>
      <c r="AS136" s="117">
        <f>SUM(AS95:AS98)</f>
        <v>0.2857142857142857</v>
      </c>
      <c r="AT136" s="116">
        <f>SUM(AT95:AT98)</f>
        <v>11.285714285714286</v>
      </c>
      <c r="AU136" s="118">
        <f>SUM(AU95:AU98)</f>
        <v>0.85714285714285698</v>
      </c>
      <c r="AV136" s="116">
        <f>SUM(AV95:AV98)</f>
        <v>0</v>
      </c>
      <c r="AW136" s="119">
        <f>SUM(AW95:AW98)</f>
        <v>0</v>
      </c>
      <c r="AY136" s="56">
        <f>AY95</f>
        <v>0.874999999999999</v>
      </c>
      <c r="AZ136" s="117">
        <f t="shared" ref="AZ136:BF136" si="197">IF(SUM(AZ95:AZ98)&gt;0, SUM(AZ95:AZ98), NA())</f>
        <v>12</v>
      </c>
      <c r="BA136" s="116">
        <f t="shared" si="197"/>
        <v>19</v>
      </c>
      <c r="BB136" s="118">
        <f t="shared" si="197"/>
        <v>11</v>
      </c>
      <c r="BC136" s="116">
        <f t="shared" si="197"/>
        <v>12</v>
      </c>
      <c r="BD136" s="118">
        <f t="shared" si="197"/>
        <v>12</v>
      </c>
      <c r="BE136" s="116">
        <f t="shared" si="197"/>
        <v>12</v>
      </c>
      <c r="BF136" s="119">
        <f t="shared" si="197"/>
        <v>9</v>
      </c>
      <c r="BH136" s="56">
        <f>BH95</f>
        <v>0.874999999999999</v>
      </c>
      <c r="BI136" s="120">
        <f t="shared" ref="BI136:BO136" si="198">IF(SUM(CM95:CM98)&lt;=0, NA(), SUM(CM95:CM98)/AZ136)</f>
        <v>44.625</v>
      </c>
      <c r="BJ136" s="121">
        <f t="shared" si="198"/>
        <v>40.199999999999996</v>
      </c>
      <c r="BK136" s="115">
        <f t="shared" si="198"/>
        <v>40.299999999999997</v>
      </c>
      <c r="BL136" s="121">
        <f t="shared" si="198"/>
        <v>42.375</v>
      </c>
      <c r="BM136" s="115">
        <f t="shared" si="198"/>
        <v>37.65</v>
      </c>
      <c r="BN136" s="121">
        <f t="shared" si="198"/>
        <v>41.116666666666667</v>
      </c>
      <c r="BO136" s="122">
        <f t="shared" si="198"/>
        <v>41.866666666666667</v>
      </c>
      <c r="BQ136" s="56">
        <f>BQ95</f>
        <v>0.874999999999999</v>
      </c>
      <c r="BR136" s="120" t="str">
        <f t="shared" ref="BR136:BX136" si="199">IFERROR(AVERAGE(BR95:BR98), "")</f>
        <v/>
      </c>
      <c r="BS136" s="121" t="str">
        <f t="shared" si="199"/>
        <v/>
      </c>
      <c r="BT136" s="115" t="str">
        <f t="shared" si="199"/>
        <v/>
      </c>
      <c r="BU136" s="121" t="str">
        <f t="shared" si="199"/>
        <v/>
      </c>
      <c r="BV136" s="115" t="str">
        <f t="shared" si="199"/>
        <v/>
      </c>
      <c r="BW136" s="121" t="str">
        <f t="shared" si="199"/>
        <v/>
      </c>
      <c r="BX136" s="122" t="str">
        <f t="shared" si="199"/>
        <v/>
      </c>
      <c r="BZ136" s="66"/>
      <c r="CA136" s="414" t="e">
        <f t="shared" si="135"/>
        <v>#N/A</v>
      </c>
      <c r="CB136" s="153">
        <f t="shared" si="142"/>
        <v>60</v>
      </c>
      <c r="CM136" s="115"/>
      <c r="CN136" s="115"/>
      <c r="CO136" s="115"/>
      <c r="CP136" s="115"/>
      <c r="CQ136" s="115"/>
      <c r="CR136" s="115"/>
      <c r="CS136" s="115"/>
      <c r="CY136" s="120">
        <f>SUM(CY95:CY98)</f>
        <v>0</v>
      </c>
      <c r="CZ136" s="121">
        <f>SUM(CZ95:CZ98)</f>
        <v>11.799999999999999</v>
      </c>
      <c r="DA136" s="115">
        <f>SUM(DA95:DA98)</f>
        <v>0.8</v>
      </c>
      <c r="DB136" s="121">
        <f>SUM(DB95:DB98)</f>
        <v>0</v>
      </c>
      <c r="DC136" s="122">
        <f>SUM(DC95:DC98)</f>
        <v>0</v>
      </c>
    </row>
    <row r="137" spans="1:107" ht="15" x14ac:dyDescent="0.25">
      <c r="A137" s="440" t="s">
        <v>63</v>
      </c>
      <c r="B137" s="642">
        <v>2</v>
      </c>
      <c r="C137" s="184">
        <v>0</v>
      </c>
      <c r="D137" s="184">
        <v>1</v>
      </c>
      <c r="E137" s="184">
        <v>0</v>
      </c>
      <c r="F137" s="184">
        <v>0</v>
      </c>
      <c r="G137" s="184">
        <v>1</v>
      </c>
      <c r="H137" s="184">
        <v>0</v>
      </c>
      <c r="I137" s="184">
        <v>0</v>
      </c>
      <c r="J137" s="184">
        <v>0</v>
      </c>
      <c r="K137" s="184">
        <v>0</v>
      </c>
      <c r="L137" s="184">
        <v>0</v>
      </c>
      <c r="M137" s="654" t="s">
        <v>24</v>
      </c>
      <c r="N137" s="670" t="s">
        <v>63</v>
      </c>
      <c r="O137" s="642">
        <v>0</v>
      </c>
      <c r="P137" s="184">
        <v>0</v>
      </c>
      <c r="Q137" s="184">
        <v>0</v>
      </c>
      <c r="R137" s="184">
        <v>0</v>
      </c>
      <c r="S137" s="184">
        <v>0</v>
      </c>
      <c r="T137" s="184">
        <v>0</v>
      </c>
      <c r="U137" s="184">
        <v>1</v>
      </c>
      <c r="V137" s="184">
        <v>1</v>
      </c>
      <c r="W137" s="184">
        <v>0</v>
      </c>
      <c r="X137" s="184">
        <v>0</v>
      </c>
      <c r="Y137" s="184">
        <v>0</v>
      </c>
      <c r="Z137" s="184">
        <v>0</v>
      </c>
      <c r="AA137" s="184">
        <v>0</v>
      </c>
      <c r="AB137" s="184">
        <v>0</v>
      </c>
      <c r="AC137" s="185">
        <v>40.5</v>
      </c>
      <c r="AD137" s="185" t="s">
        <v>24</v>
      </c>
      <c r="AE137" s="184">
        <v>0</v>
      </c>
      <c r="AF137" s="185">
        <v>0</v>
      </c>
      <c r="AG137" s="184">
        <v>0</v>
      </c>
      <c r="AH137" s="185">
        <v>0</v>
      </c>
      <c r="AI137" s="184">
        <v>0</v>
      </c>
      <c r="AJ137" s="643">
        <v>0</v>
      </c>
      <c r="AP137" s="116">
        <f>SUM(AP99:AP102)</f>
        <v>2</v>
      </c>
      <c r="AR137" s="56">
        <f>AR99</f>
        <v>0.91666666666666552</v>
      </c>
      <c r="AS137" s="117">
        <f>SUM(AS99:AS102)</f>
        <v>0.14285714285714285</v>
      </c>
      <c r="AT137" s="116">
        <f>SUM(AT99:AT102)</f>
        <v>7.7142857142857135</v>
      </c>
      <c r="AU137" s="118">
        <f>SUM(AU99:AU102)</f>
        <v>0.2857142857142857</v>
      </c>
      <c r="AV137" s="116">
        <f>SUM(AV99:AV102)</f>
        <v>0</v>
      </c>
      <c r="AW137" s="119">
        <f>SUM(AW99:AW102)</f>
        <v>0</v>
      </c>
      <c r="AY137" s="56">
        <f>AY99</f>
        <v>0.91666666666666552</v>
      </c>
      <c r="AZ137" s="117">
        <f t="shared" ref="AZ137:BF137" si="200">IF(SUM(AZ99:AZ102)&gt;0, SUM(AZ99:AZ102), NA())</f>
        <v>4</v>
      </c>
      <c r="BA137" s="116">
        <f t="shared" si="200"/>
        <v>11</v>
      </c>
      <c r="BB137" s="118">
        <f t="shared" si="200"/>
        <v>11</v>
      </c>
      <c r="BC137" s="116">
        <f t="shared" si="200"/>
        <v>5</v>
      </c>
      <c r="BD137" s="118">
        <f t="shared" si="200"/>
        <v>10</v>
      </c>
      <c r="BE137" s="116">
        <f t="shared" si="200"/>
        <v>7</v>
      </c>
      <c r="BF137" s="119">
        <f t="shared" si="200"/>
        <v>9</v>
      </c>
      <c r="BH137" s="56">
        <f>BH99</f>
        <v>0.91666666666666552</v>
      </c>
      <c r="BI137" s="120">
        <f t="shared" ref="BI137:BO137" si="201">IF(SUM(CM99:CM102)&lt;=0, NA(), SUM(CM99:CM102)/AZ137)</f>
        <v>49.849999999999994</v>
      </c>
      <c r="BJ137" s="121">
        <f t="shared" si="201"/>
        <v>43.645454545454548</v>
      </c>
      <c r="BK137" s="115">
        <f t="shared" si="201"/>
        <v>40.872727272727268</v>
      </c>
      <c r="BL137" s="121">
        <f t="shared" si="201"/>
        <v>41.480000000000004</v>
      </c>
      <c r="BM137" s="115">
        <f t="shared" si="201"/>
        <v>35.019999999999996</v>
      </c>
      <c r="BN137" s="121">
        <f t="shared" si="201"/>
        <v>43.328571428571429</v>
      </c>
      <c r="BO137" s="122">
        <f t="shared" si="201"/>
        <v>37.355555555555554</v>
      </c>
      <c r="BQ137" s="56">
        <f>BQ99</f>
        <v>0.91666666666666552</v>
      </c>
      <c r="BR137" s="120" t="str">
        <f t="shared" ref="BR137:BX137" si="202">IFERROR(AVERAGE(BR99:BR102), "")</f>
        <v/>
      </c>
      <c r="BS137" s="121" t="str">
        <f t="shared" si="202"/>
        <v/>
      </c>
      <c r="BT137" s="115" t="str">
        <f t="shared" si="202"/>
        <v/>
      </c>
      <c r="BU137" s="121" t="str">
        <f t="shared" si="202"/>
        <v/>
      </c>
      <c r="BV137" s="115" t="str">
        <f t="shared" si="202"/>
        <v/>
      </c>
      <c r="BW137" s="121" t="str">
        <f t="shared" si="202"/>
        <v/>
      </c>
      <c r="BX137" s="122" t="str">
        <f t="shared" si="202"/>
        <v/>
      </c>
      <c r="BZ137" s="66"/>
      <c r="CA137" s="414" t="e">
        <f t="shared" si="135"/>
        <v>#N/A</v>
      </c>
      <c r="CB137" s="153">
        <f t="shared" si="142"/>
        <v>60</v>
      </c>
      <c r="CM137" s="115"/>
      <c r="CN137" s="115"/>
      <c r="CO137" s="115"/>
      <c r="CP137" s="115"/>
      <c r="CQ137" s="115"/>
      <c r="CR137" s="115"/>
      <c r="CS137" s="115"/>
      <c r="CY137" s="120">
        <f>SUM(CY99:CY102)</f>
        <v>0</v>
      </c>
      <c r="CZ137" s="121">
        <f>SUM(CZ99:CZ102)</f>
        <v>7.6000000000000005</v>
      </c>
      <c r="DA137" s="115">
        <f>SUM(DA99:DA102)</f>
        <v>0.4</v>
      </c>
      <c r="DB137" s="121">
        <f>SUM(DB99:DB102)</f>
        <v>0</v>
      </c>
      <c r="DC137" s="122">
        <f>SUM(DC99:DC102)</f>
        <v>0</v>
      </c>
    </row>
    <row r="138" spans="1:107" ht="15.75" thickBot="1" x14ac:dyDescent="0.3">
      <c r="A138" s="440" t="s">
        <v>44</v>
      </c>
      <c r="B138" s="642">
        <v>0</v>
      </c>
      <c r="C138" s="184">
        <v>0</v>
      </c>
      <c r="D138" s="184">
        <v>0</v>
      </c>
      <c r="E138" s="184">
        <v>0</v>
      </c>
      <c r="F138" s="184">
        <v>0</v>
      </c>
      <c r="G138" s="184">
        <v>0</v>
      </c>
      <c r="H138" s="184">
        <v>0</v>
      </c>
      <c r="I138" s="184">
        <v>0</v>
      </c>
      <c r="J138" s="184">
        <v>0</v>
      </c>
      <c r="K138" s="184">
        <v>0</v>
      </c>
      <c r="L138" s="184">
        <v>0</v>
      </c>
      <c r="M138" s="654" t="s">
        <v>24</v>
      </c>
      <c r="N138" s="670" t="s">
        <v>44</v>
      </c>
      <c r="O138" s="642">
        <v>0</v>
      </c>
      <c r="P138" s="184">
        <v>0</v>
      </c>
      <c r="Q138" s="184">
        <v>0</v>
      </c>
      <c r="R138" s="184">
        <v>0</v>
      </c>
      <c r="S138" s="184">
        <v>0</v>
      </c>
      <c r="T138" s="184">
        <v>0</v>
      </c>
      <c r="U138" s="184">
        <v>0</v>
      </c>
      <c r="V138" s="184">
        <v>0</v>
      </c>
      <c r="W138" s="184">
        <v>0</v>
      </c>
      <c r="X138" s="184">
        <v>0</v>
      </c>
      <c r="Y138" s="184">
        <v>0</v>
      </c>
      <c r="Z138" s="184">
        <v>0</v>
      </c>
      <c r="AA138" s="184">
        <v>0</v>
      </c>
      <c r="AB138" s="184">
        <v>0</v>
      </c>
      <c r="AC138" s="185" t="s">
        <v>24</v>
      </c>
      <c r="AD138" s="185" t="s">
        <v>24</v>
      </c>
      <c r="AE138" s="184">
        <v>0</v>
      </c>
      <c r="AF138" s="185">
        <v>0</v>
      </c>
      <c r="AG138" s="184">
        <v>0</v>
      </c>
      <c r="AH138" s="185">
        <v>0</v>
      </c>
      <c r="AI138" s="184">
        <v>0</v>
      </c>
      <c r="AJ138" s="643">
        <v>0</v>
      </c>
      <c r="AP138" s="116">
        <f>SUM(AP103:AP106)</f>
        <v>1</v>
      </c>
      <c r="AR138" s="56">
        <f>AR103</f>
        <v>0.95833333333333204</v>
      </c>
      <c r="AS138" s="138">
        <f>SUM(AS103:AS106)</f>
        <v>0.14285714285714285</v>
      </c>
      <c r="AT138" s="139">
        <f>SUM(AT103:AT106)</f>
        <v>2.2857142857142856</v>
      </c>
      <c r="AU138" s="140">
        <f>SUM(AU103:AU106)</f>
        <v>0.14285714285714285</v>
      </c>
      <c r="AV138" s="139">
        <f>SUM(AV103:AV106)</f>
        <v>0</v>
      </c>
      <c r="AW138" s="141">
        <f>SUM(AW103:AW106)</f>
        <v>0</v>
      </c>
      <c r="AY138" s="56">
        <f>AY103</f>
        <v>0.95833333333333204</v>
      </c>
      <c r="AZ138" s="138">
        <f t="shared" ref="AZ138:BF138" si="203">IF(SUM(AZ103:AZ106)&gt;0, SUM(AZ103:AZ106), NA())</f>
        <v>1</v>
      </c>
      <c r="BA138" s="139">
        <f t="shared" si="203"/>
        <v>1</v>
      </c>
      <c r="BB138" s="140">
        <f t="shared" si="203"/>
        <v>3</v>
      </c>
      <c r="BC138" s="139">
        <f t="shared" si="203"/>
        <v>2</v>
      </c>
      <c r="BD138" s="140">
        <f t="shared" si="203"/>
        <v>6</v>
      </c>
      <c r="BE138" s="139">
        <f t="shared" si="203"/>
        <v>1</v>
      </c>
      <c r="BF138" s="141">
        <f t="shared" si="203"/>
        <v>4</v>
      </c>
      <c r="BH138" s="56">
        <f>BH103</f>
        <v>0.95833333333333204</v>
      </c>
      <c r="BI138" s="142">
        <f t="shared" ref="BI138:BO138" si="204">IF(SUM(CM103:CM106)&lt;=0, NA(), SUM(CM103:CM106)/AZ138)</f>
        <v>36.200000000000003</v>
      </c>
      <c r="BJ138" s="143">
        <f t="shared" si="204"/>
        <v>13.7</v>
      </c>
      <c r="BK138" s="144">
        <f t="shared" si="204"/>
        <v>45.033333333333331</v>
      </c>
      <c r="BL138" s="143">
        <f t="shared" si="204"/>
        <v>44.650000000000006</v>
      </c>
      <c r="BM138" s="144">
        <f t="shared" si="204"/>
        <v>43.550000000000004</v>
      </c>
      <c r="BN138" s="143">
        <f t="shared" si="204"/>
        <v>49.9</v>
      </c>
      <c r="BO138" s="145">
        <f t="shared" si="204"/>
        <v>43.875</v>
      </c>
      <c r="BQ138" s="56">
        <f>BQ103</f>
        <v>0.95833333333333204</v>
      </c>
      <c r="BR138" s="142" t="str">
        <f t="shared" ref="BR138:BX138" si="205">IFERROR(AVERAGE(BR103:BR106), "")</f>
        <v/>
      </c>
      <c r="BS138" s="143" t="str">
        <f t="shared" si="205"/>
        <v/>
      </c>
      <c r="BT138" s="144" t="str">
        <f t="shared" si="205"/>
        <v/>
      </c>
      <c r="BU138" s="143" t="str">
        <f t="shared" si="205"/>
        <v/>
      </c>
      <c r="BV138" s="144" t="str">
        <f t="shared" si="205"/>
        <v/>
      </c>
      <c r="BW138" s="143" t="str">
        <f t="shared" si="205"/>
        <v/>
      </c>
      <c r="BX138" s="145" t="str">
        <f t="shared" si="205"/>
        <v/>
      </c>
      <c r="BZ138" s="66"/>
      <c r="CA138" s="414" t="e">
        <f t="shared" si="135"/>
        <v>#N/A</v>
      </c>
      <c r="CB138" s="153">
        <f t="shared" si="142"/>
        <v>60</v>
      </c>
      <c r="CM138" s="115"/>
      <c r="CN138" s="115"/>
      <c r="CO138" s="115"/>
      <c r="CP138" s="115"/>
      <c r="CQ138" s="115"/>
      <c r="CR138" s="115"/>
      <c r="CS138" s="115"/>
      <c r="CY138" s="142">
        <f>SUM(CY103:CY106)</f>
        <v>0.2</v>
      </c>
      <c r="CZ138" s="143">
        <f>SUM(CZ103:CZ106)</f>
        <v>1.7999999999999998</v>
      </c>
      <c r="DA138" s="144">
        <f>SUM(DA103:DA106)</f>
        <v>0.2</v>
      </c>
      <c r="DB138" s="143">
        <f>SUM(DB103:DB106)</f>
        <v>0</v>
      </c>
      <c r="DC138" s="145">
        <f>SUM(DC103:DC106)</f>
        <v>0</v>
      </c>
    </row>
    <row r="139" spans="1:107" ht="15" x14ac:dyDescent="0.25">
      <c r="A139" s="440" t="s">
        <v>66</v>
      </c>
      <c r="B139" s="642">
        <v>0</v>
      </c>
      <c r="C139" s="184">
        <v>0</v>
      </c>
      <c r="D139" s="184">
        <v>0</v>
      </c>
      <c r="E139" s="184">
        <v>0</v>
      </c>
      <c r="F139" s="184">
        <v>0</v>
      </c>
      <c r="G139" s="184">
        <v>0</v>
      </c>
      <c r="H139" s="184">
        <v>0</v>
      </c>
      <c r="I139" s="184">
        <v>0</v>
      </c>
      <c r="J139" s="184">
        <v>0</v>
      </c>
      <c r="K139" s="184">
        <v>0</v>
      </c>
      <c r="L139" s="184">
        <v>0</v>
      </c>
      <c r="M139" s="654" t="s">
        <v>24</v>
      </c>
      <c r="N139" s="670" t="s">
        <v>66</v>
      </c>
      <c r="O139" s="642">
        <v>0</v>
      </c>
      <c r="P139" s="184">
        <v>0</v>
      </c>
      <c r="Q139" s="184">
        <v>0</v>
      </c>
      <c r="R139" s="184">
        <v>0</v>
      </c>
      <c r="S139" s="184">
        <v>0</v>
      </c>
      <c r="T139" s="184">
        <v>0</v>
      </c>
      <c r="U139" s="184">
        <v>0</v>
      </c>
      <c r="V139" s="184">
        <v>0</v>
      </c>
      <c r="W139" s="184">
        <v>0</v>
      </c>
      <c r="X139" s="184">
        <v>0</v>
      </c>
      <c r="Y139" s="184">
        <v>0</v>
      </c>
      <c r="Z139" s="184">
        <v>0</v>
      </c>
      <c r="AA139" s="184">
        <v>0</v>
      </c>
      <c r="AB139" s="184">
        <v>0</v>
      </c>
      <c r="AC139" s="185" t="s">
        <v>24</v>
      </c>
      <c r="AD139" s="185" t="s">
        <v>24</v>
      </c>
      <c r="AE139" s="184">
        <v>0</v>
      </c>
      <c r="AF139" s="185">
        <v>0</v>
      </c>
      <c r="AG139" s="184">
        <v>0</v>
      </c>
      <c r="AH139" s="185">
        <v>0</v>
      </c>
      <c r="AI139" s="184">
        <v>0</v>
      </c>
      <c r="AJ139" s="643">
        <v>0</v>
      </c>
      <c r="AP139" s="146">
        <f>SUM(AP115:AP138)</f>
        <v>347</v>
      </c>
      <c r="BF139" s="147"/>
    </row>
    <row r="140" spans="1:107" x14ac:dyDescent="0.2">
      <c r="A140" s="440" t="s">
        <v>68</v>
      </c>
      <c r="B140" s="642">
        <v>0</v>
      </c>
      <c r="C140" s="184">
        <v>0</v>
      </c>
      <c r="D140" s="184">
        <v>0</v>
      </c>
      <c r="E140" s="184">
        <v>0</v>
      </c>
      <c r="F140" s="184">
        <v>0</v>
      </c>
      <c r="G140" s="184">
        <v>0</v>
      </c>
      <c r="H140" s="184">
        <v>0</v>
      </c>
      <c r="I140" s="184">
        <v>0</v>
      </c>
      <c r="J140" s="184">
        <v>0</v>
      </c>
      <c r="K140" s="184">
        <v>0</v>
      </c>
      <c r="L140" s="184">
        <v>0</v>
      </c>
      <c r="M140" s="654" t="s">
        <v>24</v>
      </c>
      <c r="N140" s="670" t="s">
        <v>68</v>
      </c>
      <c r="O140" s="642">
        <v>0</v>
      </c>
      <c r="P140" s="184">
        <v>0</v>
      </c>
      <c r="Q140" s="184">
        <v>0</v>
      </c>
      <c r="R140" s="184">
        <v>0</v>
      </c>
      <c r="S140" s="184">
        <v>0</v>
      </c>
      <c r="T140" s="184">
        <v>0</v>
      </c>
      <c r="U140" s="184">
        <v>0</v>
      </c>
      <c r="V140" s="184">
        <v>0</v>
      </c>
      <c r="W140" s="184">
        <v>0</v>
      </c>
      <c r="X140" s="184">
        <v>0</v>
      </c>
      <c r="Y140" s="184">
        <v>0</v>
      </c>
      <c r="Z140" s="184">
        <v>0</v>
      </c>
      <c r="AA140" s="184">
        <v>0</v>
      </c>
      <c r="AB140" s="184">
        <v>0</v>
      </c>
      <c r="AC140" s="185" t="s">
        <v>24</v>
      </c>
      <c r="AD140" s="185" t="s">
        <v>24</v>
      </c>
      <c r="AE140" s="184">
        <v>0</v>
      </c>
      <c r="AF140" s="185">
        <v>0</v>
      </c>
      <c r="AG140" s="184">
        <v>0</v>
      </c>
      <c r="AH140" s="185">
        <v>0</v>
      </c>
      <c r="AI140" s="184">
        <v>0</v>
      </c>
      <c r="AJ140" s="643">
        <v>0</v>
      </c>
      <c r="AZ140" s="148" t="str">
        <f>IF(AZ109&lt;&gt;"",SUM(AZ122:AZ133),"")</f>
        <v/>
      </c>
      <c r="BA140" s="148" t="str">
        <f t="shared" ref="BA140:BF140" si="206">IF(BA109&lt;&gt;"",SUM(BA122:BA133),"")</f>
        <v/>
      </c>
      <c r="BB140" s="148" t="str">
        <f t="shared" si="206"/>
        <v/>
      </c>
      <c r="BC140" s="148" t="str">
        <f t="shared" si="206"/>
        <v/>
      </c>
      <c r="BD140" s="148" t="str">
        <f t="shared" si="206"/>
        <v/>
      </c>
      <c r="BE140" s="148" t="str">
        <f t="shared" si="206"/>
        <v/>
      </c>
      <c r="BF140" s="148" t="str">
        <f t="shared" si="206"/>
        <v/>
      </c>
    </row>
    <row r="141" spans="1:107" ht="15.75" x14ac:dyDescent="0.2">
      <c r="A141" s="440" t="s">
        <v>70</v>
      </c>
      <c r="B141" s="642">
        <v>1</v>
      </c>
      <c r="C141" s="184">
        <v>0</v>
      </c>
      <c r="D141" s="184">
        <v>1</v>
      </c>
      <c r="E141" s="184">
        <v>0</v>
      </c>
      <c r="F141" s="184">
        <v>0</v>
      </c>
      <c r="G141" s="184">
        <v>0</v>
      </c>
      <c r="H141" s="184">
        <v>0</v>
      </c>
      <c r="I141" s="184">
        <v>0</v>
      </c>
      <c r="J141" s="184">
        <v>0</v>
      </c>
      <c r="K141" s="184">
        <v>0</v>
      </c>
      <c r="L141" s="184">
        <v>0</v>
      </c>
      <c r="M141" s="654" t="s">
        <v>24</v>
      </c>
      <c r="N141" s="670" t="s">
        <v>70</v>
      </c>
      <c r="O141" s="642">
        <v>0</v>
      </c>
      <c r="P141" s="184">
        <v>0</v>
      </c>
      <c r="Q141" s="184">
        <v>0</v>
      </c>
      <c r="R141" s="184">
        <v>0</v>
      </c>
      <c r="S141" s="184">
        <v>0</v>
      </c>
      <c r="T141" s="184">
        <v>0</v>
      </c>
      <c r="U141" s="184">
        <v>0</v>
      </c>
      <c r="V141" s="184">
        <v>1</v>
      </c>
      <c r="W141" s="184">
        <v>0</v>
      </c>
      <c r="X141" s="184">
        <v>0</v>
      </c>
      <c r="Y141" s="184">
        <v>0</v>
      </c>
      <c r="Z141" s="184">
        <v>0</v>
      </c>
      <c r="AA141" s="184">
        <v>0</v>
      </c>
      <c r="AB141" s="184">
        <v>0</v>
      </c>
      <c r="AC141" s="185">
        <v>42</v>
      </c>
      <c r="AD141" s="185" t="s">
        <v>24</v>
      </c>
      <c r="AE141" s="184">
        <v>0</v>
      </c>
      <c r="AF141" s="185">
        <v>0</v>
      </c>
      <c r="AG141" s="184">
        <v>0</v>
      </c>
      <c r="AH141" s="185">
        <v>0</v>
      </c>
      <c r="AI141" s="184">
        <v>0</v>
      </c>
      <c r="AJ141" s="643">
        <v>0</v>
      </c>
      <c r="AS141" s="777" t="str">
        <f>AS10</f>
        <v>AVG CLASS</v>
      </c>
      <c r="AT141" s="777"/>
      <c r="AU141" s="777"/>
      <c r="AV141" s="777"/>
      <c r="AW141" s="777"/>
      <c r="AZ141" s="777" t="str">
        <f>AZ10</f>
        <v>VOLUME</v>
      </c>
      <c r="BA141" s="777"/>
      <c r="BB141" s="777"/>
      <c r="BC141" s="777"/>
      <c r="BD141" s="777"/>
      <c r="BE141" s="777"/>
      <c r="BF141" s="777"/>
      <c r="BI141" s="777" t="str">
        <f>BI10</f>
        <v>SPEED</v>
      </c>
      <c r="BJ141" s="777"/>
      <c r="BK141" s="777"/>
      <c r="BL141" s="777"/>
      <c r="BM141" s="777"/>
      <c r="BN141" s="777"/>
      <c r="BO141" s="777"/>
      <c r="BR141" s="777" t="str">
        <f>BR10</f>
        <v>85%ile</v>
      </c>
      <c r="BS141" s="777"/>
      <c r="BT141" s="777"/>
      <c r="BU141" s="777"/>
      <c r="BV141" s="777"/>
      <c r="BW141" s="777"/>
      <c r="BX141" s="777"/>
      <c r="CM141" s="777" t="str">
        <f>CM10</f>
        <v>AVG SPD CALC</v>
      </c>
      <c r="CN141" s="777"/>
      <c r="CO141" s="777"/>
      <c r="CP141" s="777"/>
      <c r="CQ141" s="777"/>
      <c r="CR141" s="777"/>
      <c r="CS141" s="777"/>
    </row>
    <row r="142" spans="1:107" x14ac:dyDescent="0.2">
      <c r="A142" s="440" t="s">
        <v>46</v>
      </c>
      <c r="B142" s="642">
        <v>0</v>
      </c>
      <c r="C142" s="184">
        <v>0</v>
      </c>
      <c r="D142" s="184">
        <v>0</v>
      </c>
      <c r="E142" s="184">
        <v>0</v>
      </c>
      <c r="F142" s="184">
        <v>0</v>
      </c>
      <c r="G142" s="184">
        <v>0</v>
      </c>
      <c r="H142" s="184">
        <v>0</v>
      </c>
      <c r="I142" s="184">
        <v>0</v>
      </c>
      <c r="J142" s="184">
        <v>0</v>
      </c>
      <c r="K142" s="184">
        <v>0</v>
      </c>
      <c r="L142" s="184">
        <v>0</v>
      </c>
      <c r="M142" s="654" t="s">
        <v>24</v>
      </c>
      <c r="N142" s="670" t="s">
        <v>46</v>
      </c>
      <c r="O142" s="642">
        <v>0</v>
      </c>
      <c r="P142" s="184">
        <v>0</v>
      </c>
      <c r="Q142" s="184">
        <v>0</v>
      </c>
      <c r="R142" s="184">
        <v>0</v>
      </c>
      <c r="S142" s="184">
        <v>0</v>
      </c>
      <c r="T142" s="184">
        <v>0</v>
      </c>
      <c r="U142" s="184">
        <v>0</v>
      </c>
      <c r="V142" s="184">
        <v>0</v>
      </c>
      <c r="W142" s="184">
        <v>0</v>
      </c>
      <c r="X142" s="184">
        <v>0</v>
      </c>
      <c r="Y142" s="184">
        <v>0</v>
      </c>
      <c r="Z142" s="184">
        <v>0</v>
      </c>
      <c r="AA142" s="184">
        <v>0</v>
      </c>
      <c r="AB142" s="184">
        <v>0</v>
      </c>
      <c r="AC142" s="185" t="s">
        <v>24</v>
      </c>
      <c r="AD142" s="185" t="s">
        <v>24</v>
      </c>
      <c r="AE142" s="184">
        <v>0</v>
      </c>
      <c r="AF142" s="185">
        <v>0</v>
      </c>
      <c r="AG142" s="184">
        <v>0</v>
      </c>
      <c r="AH142" s="185">
        <v>0</v>
      </c>
      <c r="AI142" s="184">
        <v>0</v>
      </c>
      <c r="AJ142" s="643">
        <v>0</v>
      </c>
      <c r="AZ142" s="30"/>
      <c r="BA142" s="30"/>
      <c r="BB142" s="30"/>
      <c r="BC142" s="30"/>
      <c r="BD142" s="30"/>
      <c r="BE142" s="30"/>
      <c r="BF142" s="30"/>
      <c r="BG142" s="30"/>
    </row>
    <row r="143" spans="1:107" x14ac:dyDescent="0.2">
      <c r="A143" s="440" t="s">
        <v>73</v>
      </c>
      <c r="B143" s="642">
        <v>5</v>
      </c>
      <c r="C143" s="184">
        <v>0</v>
      </c>
      <c r="D143" s="184">
        <v>4</v>
      </c>
      <c r="E143" s="184">
        <v>0</v>
      </c>
      <c r="F143" s="184">
        <v>1</v>
      </c>
      <c r="G143" s="184">
        <v>0</v>
      </c>
      <c r="H143" s="184">
        <v>0</v>
      </c>
      <c r="I143" s="184">
        <v>0</v>
      </c>
      <c r="J143" s="184">
        <v>0</v>
      </c>
      <c r="K143" s="184">
        <v>0</v>
      </c>
      <c r="L143" s="184">
        <v>0</v>
      </c>
      <c r="M143" s="654" t="s">
        <v>24</v>
      </c>
      <c r="N143" s="670" t="s">
        <v>73</v>
      </c>
      <c r="O143" s="642">
        <v>0</v>
      </c>
      <c r="P143" s="184">
        <v>0</v>
      </c>
      <c r="Q143" s="184">
        <v>0</v>
      </c>
      <c r="R143" s="184">
        <v>0</v>
      </c>
      <c r="S143" s="184">
        <v>0</v>
      </c>
      <c r="T143" s="184">
        <v>0</v>
      </c>
      <c r="U143" s="184">
        <v>1</v>
      </c>
      <c r="V143" s="184">
        <v>1</v>
      </c>
      <c r="W143" s="184">
        <v>1</v>
      </c>
      <c r="X143" s="184">
        <v>1</v>
      </c>
      <c r="Y143" s="184">
        <v>1</v>
      </c>
      <c r="Z143" s="184">
        <v>0</v>
      </c>
      <c r="AA143" s="184">
        <v>0</v>
      </c>
      <c r="AB143" s="184">
        <v>0</v>
      </c>
      <c r="AC143" s="185">
        <v>48.7</v>
      </c>
      <c r="AD143" s="185" t="s">
        <v>24</v>
      </c>
      <c r="AE143" s="184">
        <v>1</v>
      </c>
      <c r="AF143" s="185">
        <v>20</v>
      </c>
      <c r="AG143" s="184">
        <v>0</v>
      </c>
      <c r="AH143" s="185">
        <v>0</v>
      </c>
      <c r="AI143" s="184">
        <v>0</v>
      </c>
      <c r="AJ143" s="643">
        <v>0</v>
      </c>
    </row>
    <row r="144" spans="1:107" x14ac:dyDescent="0.2">
      <c r="A144" s="440" t="s">
        <v>75</v>
      </c>
      <c r="B144" s="642">
        <v>4</v>
      </c>
      <c r="C144" s="184">
        <v>0</v>
      </c>
      <c r="D144" s="184">
        <v>4</v>
      </c>
      <c r="E144" s="184">
        <v>0</v>
      </c>
      <c r="F144" s="184">
        <v>0</v>
      </c>
      <c r="G144" s="184">
        <v>0</v>
      </c>
      <c r="H144" s="184">
        <v>0</v>
      </c>
      <c r="I144" s="184">
        <v>0</v>
      </c>
      <c r="J144" s="184">
        <v>0</v>
      </c>
      <c r="K144" s="184">
        <v>0</v>
      </c>
      <c r="L144" s="184">
        <v>0</v>
      </c>
      <c r="M144" s="654" t="s">
        <v>24</v>
      </c>
      <c r="N144" s="670" t="s">
        <v>75</v>
      </c>
      <c r="O144" s="642">
        <v>0</v>
      </c>
      <c r="P144" s="184">
        <v>0</v>
      </c>
      <c r="Q144" s="184">
        <v>0</v>
      </c>
      <c r="R144" s="184">
        <v>0</v>
      </c>
      <c r="S144" s="184">
        <v>0</v>
      </c>
      <c r="T144" s="184">
        <v>0</v>
      </c>
      <c r="U144" s="184">
        <v>0</v>
      </c>
      <c r="V144" s="184">
        <v>2</v>
      </c>
      <c r="W144" s="184">
        <v>1</v>
      </c>
      <c r="X144" s="184">
        <v>1</v>
      </c>
      <c r="Y144" s="184">
        <v>0</v>
      </c>
      <c r="Z144" s="184">
        <v>0</v>
      </c>
      <c r="AA144" s="184">
        <v>0</v>
      </c>
      <c r="AB144" s="184">
        <v>0</v>
      </c>
      <c r="AC144" s="185">
        <v>47.2</v>
      </c>
      <c r="AD144" s="185" t="s">
        <v>24</v>
      </c>
      <c r="AE144" s="184">
        <v>0</v>
      </c>
      <c r="AF144" s="185">
        <v>0</v>
      </c>
      <c r="AG144" s="184">
        <v>0</v>
      </c>
      <c r="AH144" s="185">
        <v>0</v>
      </c>
      <c r="AI144" s="184">
        <v>0</v>
      </c>
      <c r="AJ144" s="643">
        <v>0</v>
      </c>
    </row>
    <row r="145" spans="1:36" ht="13.5" thickBot="1" x14ac:dyDescent="0.25">
      <c r="A145" s="440" t="s">
        <v>77</v>
      </c>
      <c r="B145" s="644">
        <v>4</v>
      </c>
      <c r="C145" s="188">
        <v>0</v>
      </c>
      <c r="D145" s="188">
        <v>4</v>
      </c>
      <c r="E145" s="188">
        <v>0</v>
      </c>
      <c r="F145" s="188">
        <v>0</v>
      </c>
      <c r="G145" s="188">
        <v>0</v>
      </c>
      <c r="H145" s="188">
        <v>0</v>
      </c>
      <c r="I145" s="188">
        <v>0</v>
      </c>
      <c r="J145" s="188">
        <v>0</v>
      </c>
      <c r="K145" s="188">
        <v>0</v>
      </c>
      <c r="L145" s="188">
        <v>0</v>
      </c>
      <c r="M145" s="655" t="s">
        <v>24</v>
      </c>
      <c r="N145" s="670" t="s">
        <v>77</v>
      </c>
      <c r="O145" s="644">
        <v>0</v>
      </c>
      <c r="P145" s="188">
        <v>0</v>
      </c>
      <c r="Q145" s="188">
        <v>0</v>
      </c>
      <c r="R145" s="188">
        <v>0</v>
      </c>
      <c r="S145" s="188">
        <v>0</v>
      </c>
      <c r="T145" s="188">
        <v>0</v>
      </c>
      <c r="U145" s="188">
        <v>0</v>
      </c>
      <c r="V145" s="188">
        <v>0</v>
      </c>
      <c r="W145" s="188">
        <v>0</v>
      </c>
      <c r="X145" s="188">
        <v>2</v>
      </c>
      <c r="Y145" s="188">
        <v>2</v>
      </c>
      <c r="Z145" s="188">
        <v>0</v>
      </c>
      <c r="AA145" s="188">
        <v>0</v>
      </c>
      <c r="AB145" s="188">
        <v>0</v>
      </c>
      <c r="AC145" s="189">
        <v>57.8</v>
      </c>
      <c r="AD145" s="189" t="s">
        <v>24</v>
      </c>
      <c r="AE145" s="188">
        <v>2</v>
      </c>
      <c r="AF145" s="189">
        <v>50</v>
      </c>
      <c r="AG145" s="188">
        <v>0</v>
      </c>
      <c r="AH145" s="189">
        <v>0</v>
      </c>
      <c r="AI145" s="188">
        <v>0</v>
      </c>
      <c r="AJ145" s="645">
        <v>0</v>
      </c>
    </row>
    <row r="146" spans="1:36" x14ac:dyDescent="0.2">
      <c r="A146" s="440" t="s">
        <v>48</v>
      </c>
      <c r="B146" s="642">
        <v>4</v>
      </c>
      <c r="C146" s="184">
        <v>0</v>
      </c>
      <c r="D146" s="184">
        <v>4</v>
      </c>
      <c r="E146" s="184">
        <v>0</v>
      </c>
      <c r="F146" s="184">
        <v>0</v>
      </c>
      <c r="G146" s="184">
        <v>0</v>
      </c>
      <c r="H146" s="184">
        <v>0</v>
      </c>
      <c r="I146" s="184">
        <v>0</v>
      </c>
      <c r="J146" s="184">
        <v>0</v>
      </c>
      <c r="K146" s="184">
        <v>0</v>
      </c>
      <c r="L146" s="184">
        <v>0</v>
      </c>
      <c r="M146" s="654" t="s">
        <v>24</v>
      </c>
      <c r="N146" s="670" t="s">
        <v>48</v>
      </c>
      <c r="O146" s="642">
        <v>0</v>
      </c>
      <c r="P146" s="184">
        <v>0</v>
      </c>
      <c r="Q146" s="184">
        <v>0</v>
      </c>
      <c r="R146" s="184">
        <v>0</v>
      </c>
      <c r="S146" s="184">
        <v>0</v>
      </c>
      <c r="T146" s="184">
        <v>0</v>
      </c>
      <c r="U146" s="184">
        <v>0</v>
      </c>
      <c r="V146" s="184">
        <v>3</v>
      </c>
      <c r="W146" s="184">
        <v>0</v>
      </c>
      <c r="X146" s="184">
        <v>1</v>
      </c>
      <c r="Y146" s="184">
        <v>0</v>
      </c>
      <c r="Z146" s="184">
        <v>0</v>
      </c>
      <c r="AA146" s="184">
        <v>0</v>
      </c>
      <c r="AB146" s="184">
        <v>0</v>
      </c>
      <c r="AC146" s="185">
        <v>45</v>
      </c>
      <c r="AD146" s="185" t="s">
        <v>24</v>
      </c>
      <c r="AE146" s="184">
        <v>0</v>
      </c>
      <c r="AF146" s="185">
        <v>0</v>
      </c>
      <c r="AG146" s="184">
        <v>0</v>
      </c>
      <c r="AH146" s="185">
        <v>0</v>
      </c>
      <c r="AI146" s="184">
        <v>0</v>
      </c>
      <c r="AJ146" s="643">
        <v>0</v>
      </c>
    </row>
    <row r="147" spans="1:36" x14ac:dyDescent="0.2">
      <c r="A147" s="440" t="s">
        <v>79</v>
      </c>
      <c r="B147" s="642">
        <v>4</v>
      </c>
      <c r="C147" s="184">
        <v>0</v>
      </c>
      <c r="D147" s="184">
        <v>4</v>
      </c>
      <c r="E147" s="184">
        <v>0</v>
      </c>
      <c r="F147" s="184">
        <v>0</v>
      </c>
      <c r="G147" s="184">
        <v>0</v>
      </c>
      <c r="H147" s="184">
        <v>0</v>
      </c>
      <c r="I147" s="184">
        <v>0</v>
      </c>
      <c r="J147" s="184">
        <v>0</v>
      </c>
      <c r="K147" s="184">
        <v>0</v>
      </c>
      <c r="L147" s="184">
        <v>0</v>
      </c>
      <c r="M147" s="654" t="s">
        <v>24</v>
      </c>
      <c r="N147" s="670" t="s">
        <v>79</v>
      </c>
      <c r="O147" s="642">
        <v>0</v>
      </c>
      <c r="P147" s="184">
        <v>0</v>
      </c>
      <c r="Q147" s="184">
        <v>0</v>
      </c>
      <c r="R147" s="184">
        <v>0</v>
      </c>
      <c r="S147" s="184">
        <v>0</v>
      </c>
      <c r="T147" s="184">
        <v>1</v>
      </c>
      <c r="U147" s="184">
        <v>1</v>
      </c>
      <c r="V147" s="184">
        <v>2</v>
      </c>
      <c r="W147" s="184">
        <v>0</v>
      </c>
      <c r="X147" s="184">
        <v>0</v>
      </c>
      <c r="Y147" s="184">
        <v>0</v>
      </c>
      <c r="Z147" s="184">
        <v>0</v>
      </c>
      <c r="AA147" s="184">
        <v>0</v>
      </c>
      <c r="AB147" s="184">
        <v>0</v>
      </c>
      <c r="AC147" s="185">
        <v>39.799999999999997</v>
      </c>
      <c r="AD147" s="185" t="s">
        <v>24</v>
      </c>
      <c r="AE147" s="184">
        <v>0</v>
      </c>
      <c r="AF147" s="185">
        <v>0</v>
      </c>
      <c r="AG147" s="184">
        <v>0</v>
      </c>
      <c r="AH147" s="185">
        <v>0</v>
      </c>
      <c r="AI147" s="184">
        <v>0</v>
      </c>
      <c r="AJ147" s="643">
        <v>0</v>
      </c>
    </row>
    <row r="148" spans="1:36" x14ac:dyDescent="0.2">
      <c r="A148" s="440" t="s">
        <v>80</v>
      </c>
      <c r="B148" s="642">
        <v>12</v>
      </c>
      <c r="C148" s="184">
        <v>0</v>
      </c>
      <c r="D148" s="184">
        <v>12</v>
      </c>
      <c r="E148" s="184">
        <v>0</v>
      </c>
      <c r="F148" s="184">
        <v>0</v>
      </c>
      <c r="G148" s="184">
        <v>0</v>
      </c>
      <c r="H148" s="184">
        <v>0</v>
      </c>
      <c r="I148" s="184">
        <v>0</v>
      </c>
      <c r="J148" s="184">
        <v>0</v>
      </c>
      <c r="K148" s="184">
        <v>0</v>
      </c>
      <c r="L148" s="184">
        <v>0</v>
      </c>
      <c r="M148" s="654" t="s">
        <v>24</v>
      </c>
      <c r="N148" s="670" t="s">
        <v>80</v>
      </c>
      <c r="O148" s="642">
        <v>0</v>
      </c>
      <c r="P148" s="184">
        <v>0</v>
      </c>
      <c r="Q148" s="184">
        <v>0</v>
      </c>
      <c r="R148" s="184">
        <v>0</v>
      </c>
      <c r="S148" s="184">
        <v>0</v>
      </c>
      <c r="T148" s="184">
        <v>0</v>
      </c>
      <c r="U148" s="184">
        <v>0</v>
      </c>
      <c r="V148" s="184">
        <v>5</v>
      </c>
      <c r="W148" s="184">
        <v>4</v>
      </c>
      <c r="X148" s="184">
        <v>2</v>
      </c>
      <c r="Y148" s="184">
        <v>1</v>
      </c>
      <c r="Z148" s="184">
        <v>0</v>
      </c>
      <c r="AA148" s="184">
        <v>0</v>
      </c>
      <c r="AB148" s="184">
        <v>0</v>
      </c>
      <c r="AC148" s="185">
        <v>47.1</v>
      </c>
      <c r="AD148" s="185">
        <v>51.8</v>
      </c>
      <c r="AE148" s="184">
        <v>1</v>
      </c>
      <c r="AF148" s="185">
        <v>8.3333333333333321</v>
      </c>
      <c r="AG148" s="184">
        <v>0</v>
      </c>
      <c r="AH148" s="185">
        <v>0</v>
      </c>
      <c r="AI148" s="184">
        <v>0</v>
      </c>
      <c r="AJ148" s="643">
        <v>0</v>
      </c>
    </row>
    <row r="149" spans="1:36" ht="13.5" thickBot="1" x14ac:dyDescent="0.25">
      <c r="A149" s="440" t="s">
        <v>81</v>
      </c>
      <c r="B149" s="644">
        <v>13</v>
      </c>
      <c r="C149" s="188">
        <v>0</v>
      </c>
      <c r="D149" s="188">
        <v>11</v>
      </c>
      <c r="E149" s="188">
        <v>1</v>
      </c>
      <c r="F149" s="188">
        <v>1</v>
      </c>
      <c r="G149" s="188">
        <v>0</v>
      </c>
      <c r="H149" s="188">
        <v>0</v>
      </c>
      <c r="I149" s="188">
        <v>0</v>
      </c>
      <c r="J149" s="188">
        <v>0</v>
      </c>
      <c r="K149" s="188">
        <v>0</v>
      </c>
      <c r="L149" s="188">
        <v>0</v>
      </c>
      <c r="M149" s="655" t="s">
        <v>24</v>
      </c>
      <c r="N149" s="670" t="s">
        <v>81</v>
      </c>
      <c r="O149" s="644">
        <v>0</v>
      </c>
      <c r="P149" s="188">
        <v>0</v>
      </c>
      <c r="Q149" s="188">
        <v>0</v>
      </c>
      <c r="R149" s="188">
        <v>0</v>
      </c>
      <c r="S149" s="188">
        <v>0</v>
      </c>
      <c r="T149" s="188">
        <v>1</v>
      </c>
      <c r="U149" s="188">
        <v>3</v>
      </c>
      <c r="V149" s="188">
        <v>3</v>
      </c>
      <c r="W149" s="188">
        <v>5</v>
      </c>
      <c r="X149" s="188">
        <v>1</v>
      </c>
      <c r="Y149" s="188">
        <v>0</v>
      </c>
      <c r="Z149" s="188">
        <v>0</v>
      </c>
      <c r="AA149" s="188">
        <v>0</v>
      </c>
      <c r="AB149" s="188">
        <v>0</v>
      </c>
      <c r="AC149" s="189">
        <v>43.1</v>
      </c>
      <c r="AD149" s="189">
        <v>48.2</v>
      </c>
      <c r="AE149" s="188">
        <v>0</v>
      </c>
      <c r="AF149" s="189">
        <v>0</v>
      </c>
      <c r="AG149" s="188">
        <v>0</v>
      </c>
      <c r="AH149" s="189">
        <v>0</v>
      </c>
      <c r="AI149" s="188">
        <v>0</v>
      </c>
      <c r="AJ149" s="645">
        <v>0</v>
      </c>
    </row>
    <row r="150" spans="1:36" x14ac:dyDescent="0.2">
      <c r="A150" s="440" t="s">
        <v>50</v>
      </c>
      <c r="B150" s="646">
        <v>12</v>
      </c>
      <c r="C150" s="186">
        <v>0</v>
      </c>
      <c r="D150" s="186">
        <v>10</v>
      </c>
      <c r="E150" s="186">
        <v>1</v>
      </c>
      <c r="F150" s="186">
        <v>1</v>
      </c>
      <c r="G150" s="186">
        <v>0</v>
      </c>
      <c r="H150" s="186">
        <v>0</v>
      </c>
      <c r="I150" s="186">
        <v>0</v>
      </c>
      <c r="J150" s="186">
        <v>0</v>
      </c>
      <c r="K150" s="186">
        <v>0</v>
      </c>
      <c r="L150" s="186">
        <v>0</v>
      </c>
      <c r="M150" s="656" t="s">
        <v>24</v>
      </c>
      <c r="N150" s="670" t="s">
        <v>50</v>
      </c>
      <c r="O150" s="646">
        <v>0</v>
      </c>
      <c r="P150" s="186">
        <v>0</v>
      </c>
      <c r="Q150" s="186">
        <v>0</v>
      </c>
      <c r="R150" s="186">
        <v>0</v>
      </c>
      <c r="S150" s="186">
        <v>0</v>
      </c>
      <c r="T150" s="186">
        <v>0</v>
      </c>
      <c r="U150" s="186">
        <v>1</v>
      </c>
      <c r="V150" s="186">
        <v>4</v>
      </c>
      <c r="W150" s="186">
        <v>2</v>
      </c>
      <c r="X150" s="186">
        <v>4</v>
      </c>
      <c r="Y150" s="186">
        <v>1</v>
      </c>
      <c r="Z150" s="186">
        <v>0</v>
      </c>
      <c r="AA150" s="186">
        <v>0</v>
      </c>
      <c r="AB150" s="186">
        <v>0</v>
      </c>
      <c r="AC150" s="187">
        <v>47.5</v>
      </c>
      <c r="AD150" s="187">
        <v>53.3</v>
      </c>
      <c r="AE150" s="186">
        <v>1</v>
      </c>
      <c r="AF150" s="187">
        <v>8.3333333333333321</v>
      </c>
      <c r="AG150" s="186">
        <v>0</v>
      </c>
      <c r="AH150" s="187">
        <v>0</v>
      </c>
      <c r="AI150" s="186">
        <v>0</v>
      </c>
      <c r="AJ150" s="647">
        <v>0</v>
      </c>
    </row>
    <row r="151" spans="1:36" x14ac:dyDescent="0.2">
      <c r="A151" s="440" t="s">
        <v>82</v>
      </c>
      <c r="B151" s="642">
        <v>18</v>
      </c>
      <c r="C151" s="184">
        <v>0</v>
      </c>
      <c r="D151" s="184">
        <v>17</v>
      </c>
      <c r="E151" s="184">
        <v>0</v>
      </c>
      <c r="F151" s="184">
        <v>1</v>
      </c>
      <c r="G151" s="184">
        <v>0</v>
      </c>
      <c r="H151" s="184">
        <v>0</v>
      </c>
      <c r="I151" s="184">
        <v>0</v>
      </c>
      <c r="J151" s="184">
        <v>0</v>
      </c>
      <c r="K151" s="184">
        <v>0</v>
      </c>
      <c r="L151" s="184">
        <v>0</v>
      </c>
      <c r="M151" s="654" t="s">
        <v>24</v>
      </c>
      <c r="N151" s="670" t="s">
        <v>82</v>
      </c>
      <c r="O151" s="642">
        <v>0</v>
      </c>
      <c r="P151" s="184">
        <v>0</v>
      </c>
      <c r="Q151" s="184">
        <v>0</v>
      </c>
      <c r="R151" s="184">
        <v>0</v>
      </c>
      <c r="S151" s="184">
        <v>1</v>
      </c>
      <c r="T151" s="184">
        <v>0</v>
      </c>
      <c r="U151" s="184">
        <v>2</v>
      </c>
      <c r="V151" s="184">
        <v>8</v>
      </c>
      <c r="W151" s="184">
        <v>4</v>
      </c>
      <c r="X151" s="184">
        <v>3</v>
      </c>
      <c r="Y151" s="184">
        <v>0</v>
      </c>
      <c r="Z151" s="184">
        <v>0</v>
      </c>
      <c r="AA151" s="184">
        <v>0</v>
      </c>
      <c r="AB151" s="184">
        <v>0</v>
      </c>
      <c r="AC151" s="185">
        <v>44.1</v>
      </c>
      <c r="AD151" s="185">
        <v>50.8</v>
      </c>
      <c r="AE151" s="184">
        <v>0</v>
      </c>
      <c r="AF151" s="185">
        <v>0</v>
      </c>
      <c r="AG151" s="184">
        <v>0</v>
      </c>
      <c r="AH151" s="185">
        <v>0</v>
      </c>
      <c r="AI151" s="184">
        <v>0</v>
      </c>
      <c r="AJ151" s="643">
        <v>0</v>
      </c>
    </row>
    <row r="152" spans="1:36" x14ac:dyDescent="0.2">
      <c r="A152" s="440" t="s">
        <v>83</v>
      </c>
      <c r="B152" s="642">
        <v>25</v>
      </c>
      <c r="C152" s="184">
        <v>0</v>
      </c>
      <c r="D152" s="184">
        <v>21</v>
      </c>
      <c r="E152" s="184">
        <v>0</v>
      </c>
      <c r="F152" s="184">
        <v>4</v>
      </c>
      <c r="G152" s="184">
        <v>0</v>
      </c>
      <c r="H152" s="184">
        <v>0</v>
      </c>
      <c r="I152" s="184">
        <v>0</v>
      </c>
      <c r="J152" s="184">
        <v>0</v>
      </c>
      <c r="K152" s="184">
        <v>0</v>
      </c>
      <c r="L152" s="184">
        <v>0</v>
      </c>
      <c r="M152" s="654" t="s">
        <v>24</v>
      </c>
      <c r="N152" s="670" t="s">
        <v>83</v>
      </c>
      <c r="O152" s="642">
        <v>0</v>
      </c>
      <c r="P152" s="184">
        <v>0</v>
      </c>
      <c r="Q152" s="184">
        <v>0</v>
      </c>
      <c r="R152" s="184">
        <v>0</v>
      </c>
      <c r="S152" s="184">
        <v>3</v>
      </c>
      <c r="T152" s="184">
        <v>4</v>
      </c>
      <c r="U152" s="184">
        <v>6</v>
      </c>
      <c r="V152" s="184">
        <v>5</v>
      </c>
      <c r="W152" s="184">
        <v>7</v>
      </c>
      <c r="X152" s="184">
        <v>0</v>
      </c>
      <c r="Y152" s="184">
        <v>0</v>
      </c>
      <c r="Z152" s="184">
        <v>0</v>
      </c>
      <c r="AA152" s="184">
        <v>0</v>
      </c>
      <c r="AB152" s="184">
        <v>0</v>
      </c>
      <c r="AC152" s="185">
        <v>39.4</v>
      </c>
      <c r="AD152" s="185">
        <v>46.9</v>
      </c>
      <c r="AE152" s="184">
        <v>0</v>
      </c>
      <c r="AF152" s="185">
        <v>0</v>
      </c>
      <c r="AG152" s="184">
        <v>0</v>
      </c>
      <c r="AH152" s="185">
        <v>0</v>
      </c>
      <c r="AI152" s="184">
        <v>0</v>
      </c>
      <c r="AJ152" s="643">
        <v>0</v>
      </c>
    </row>
    <row r="153" spans="1:36" x14ac:dyDescent="0.2">
      <c r="A153" s="440" t="s">
        <v>84</v>
      </c>
      <c r="B153" s="642">
        <v>28</v>
      </c>
      <c r="C153" s="184">
        <v>1</v>
      </c>
      <c r="D153" s="184">
        <v>22</v>
      </c>
      <c r="E153" s="184">
        <v>1</v>
      </c>
      <c r="F153" s="184">
        <v>4</v>
      </c>
      <c r="G153" s="184">
        <v>0</v>
      </c>
      <c r="H153" s="184">
        <v>0</v>
      </c>
      <c r="I153" s="184">
        <v>0</v>
      </c>
      <c r="J153" s="184">
        <v>0</v>
      </c>
      <c r="K153" s="184">
        <v>0</v>
      </c>
      <c r="L153" s="184">
        <v>0</v>
      </c>
      <c r="M153" s="654" t="s">
        <v>24</v>
      </c>
      <c r="N153" s="670" t="s">
        <v>84</v>
      </c>
      <c r="O153" s="642">
        <v>0</v>
      </c>
      <c r="P153" s="184">
        <v>0</v>
      </c>
      <c r="Q153" s="184">
        <v>0</v>
      </c>
      <c r="R153" s="184">
        <v>0</v>
      </c>
      <c r="S153" s="184">
        <v>1</v>
      </c>
      <c r="T153" s="184">
        <v>3</v>
      </c>
      <c r="U153" s="184">
        <v>7</v>
      </c>
      <c r="V153" s="184">
        <v>10</v>
      </c>
      <c r="W153" s="184">
        <v>4</v>
      </c>
      <c r="X153" s="184">
        <v>3</v>
      </c>
      <c r="Y153" s="184">
        <v>0</v>
      </c>
      <c r="Z153" s="184">
        <v>0</v>
      </c>
      <c r="AA153" s="184">
        <v>0</v>
      </c>
      <c r="AB153" s="184">
        <v>0</v>
      </c>
      <c r="AC153" s="185">
        <v>41.4</v>
      </c>
      <c r="AD153" s="185">
        <v>47.6</v>
      </c>
      <c r="AE153" s="184">
        <v>0</v>
      </c>
      <c r="AF153" s="185">
        <v>0</v>
      </c>
      <c r="AG153" s="184">
        <v>0</v>
      </c>
      <c r="AH153" s="185">
        <v>0</v>
      </c>
      <c r="AI153" s="184">
        <v>0</v>
      </c>
      <c r="AJ153" s="643">
        <v>0</v>
      </c>
    </row>
    <row r="154" spans="1:36" x14ac:dyDescent="0.2">
      <c r="A154" s="440" t="s">
        <v>51</v>
      </c>
      <c r="B154" s="642">
        <v>28</v>
      </c>
      <c r="C154" s="184">
        <v>0</v>
      </c>
      <c r="D154" s="184">
        <v>24</v>
      </c>
      <c r="E154" s="184">
        <v>0</v>
      </c>
      <c r="F154" s="184">
        <v>3</v>
      </c>
      <c r="G154" s="184">
        <v>0</v>
      </c>
      <c r="H154" s="184">
        <v>0</v>
      </c>
      <c r="I154" s="184">
        <v>1</v>
      </c>
      <c r="J154" s="184">
        <v>0</v>
      </c>
      <c r="K154" s="184">
        <v>0</v>
      </c>
      <c r="L154" s="184">
        <v>0</v>
      </c>
      <c r="M154" s="654" t="s">
        <v>24</v>
      </c>
      <c r="N154" s="670" t="s">
        <v>51</v>
      </c>
      <c r="O154" s="642">
        <v>0</v>
      </c>
      <c r="P154" s="184">
        <v>0</v>
      </c>
      <c r="Q154" s="184">
        <v>0</v>
      </c>
      <c r="R154" s="184">
        <v>0</v>
      </c>
      <c r="S154" s="184">
        <v>2</v>
      </c>
      <c r="T154" s="184">
        <v>4</v>
      </c>
      <c r="U154" s="184">
        <v>7</v>
      </c>
      <c r="V154" s="184">
        <v>10</v>
      </c>
      <c r="W154" s="184">
        <v>4</v>
      </c>
      <c r="X154" s="184">
        <v>1</v>
      </c>
      <c r="Y154" s="184">
        <v>0</v>
      </c>
      <c r="Z154" s="184">
        <v>0</v>
      </c>
      <c r="AA154" s="184">
        <v>0</v>
      </c>
      <c r="AB154" s="184">
        <v>0</v>
      </c>
      <c r="AC154" s="185">
        <v>40</v>
      </c>
      <c r="AD154" s="185">
        <v>45.1</v>
      </c>
      <c r="AE154" s="184">
        <v>0</v>
      </c>
      <c r="AF154" s="185">
        <v>0</v>
      </c>
      <c r="AG154" s="184">
        <v>0</v>
      </c>
      <c r="AH154" s="185">
        <v>0</v>
      </c>
      <c r="AI154" s="184">
        <v>0</v>
      </c>
      <c r="AJ154" s="643">
        <v>0</v>
      </c>
    </row>
    <row r="155" spans="1:36" x14ac:dyDescent="0.2">
      <c r="A155" s="440" t="s">
        <v>85</v>
      </c>
      <c r="B155" s="642">
        <v>26</v>
      </c>
      <c r="C155" s="184">
        <v>0</v>
      </c>
      <c r="D155" s="184">
        <v>24</v>
      </c>
      <c r="E155" s="184">
        <v>0</v>
      </c>
      <c r="F155" s="184">
        <v>2</v>
      </c>
      <c r="G155" s="184">
        <v>0</v>
      </c>
      <c r="H155" s="184">
        <v>0</v>
      </c>
      <c r="I155" s="184">
        <v>0</v>
      </c>
      <c r="J155" s="184">
        <v>0</v>
      </c>
      <c r="K155" s="184">
        <v>0</v>
      </c>
      <c r="L155" s="184">
        <v>0</v>
      </c>
      <c r="M155" s="654" t="s">
        <v>24</v>
      </c>
      <c r="N155" s="670" t="s">
        <v>85</v>
      </c>
      <c r="O155" s="642">
        <v>0</v>
      </c>
      <c r="P155" s="184">
        <v>0</v>
      </c>
      <c r="Q155" s="184">
        <v>0</v>
      </c>
      <c r="R155" s="184">
        <v>0</v>
      </c>
      <c r="S155" s="184">
        <v>2</v>
      </c>
      <c r="T155" s="184">
        <v>3</v>
      </c>
      <c r="U155" s="184">
        <v>7</v>
      </c>
      <c r="V155" s="184">
        <v>7</v>
      </c>
      <c r="W155" s="184">
        <v>4</v>
      </c>
      <c r="X155" s="184">
        <v>3</v>
      </c>
      <c r="Y155" s="184">
        <v>0</v>
      </c>
      <c r="Z155" s="184">
        <v>0</v>
      </c>
      <c r="AA155" s="184">
        <v>0</v>
      </c>
      <c r="AB155" s="184">
        <v>0</v>
      </c>
      <c r="AC155" s="185">
        <v>41</v>
      </c>
      <c r="AD155" s="185">
        <v>49.1</v>
      </c>
      <c r="AE155" s="184">
        <v>0</v>
      </c>
      <c r="AF155" s="185">
        <v>0</v>
      </c>
      <c r="AG155" s="184">
        <v>0</v>
      </c>
      <c r="AH155" s="185">
        <v>0</v>
      </c>
      <c r="AI155" s="184">
        <v>0</v>
      </c>
      <c r="AJ155" s="643">
        <v>0</v>
      </c>
    </row>
    <row r="156" spans="1:36" x14ac:dyDescent="0.2">
      <c r="A156" s="440" t="s">
        <v>86</v>
      </c>
      <c r="B156" s="642">
        <v>22</v>
      </c>
      <c r="C156" s="184">
        <v>0</v>
      </c>
      <c r="D156" s="184">
        <v>21</v>
      </c>
      <c r="E156" s="184">
        <v>0</v>
      </c>
      <c r="F156" s="184">
        <v>1</v>
      </c>
      <c r="G156" s="184">
        <v>0</v>
      </c>
      <c r="H156" s="184">
        <v>0</v>
      </c>
      <c r="I156" s="184">
        <v>0</v>
      </c>
      <c r="J156" s="184">
        <v>0</v>
      </c>
      <c r="K156" s="184">
        <v>0</v>
      </c>
      <c r="L156" s="184">
        <v>0</v>
      </c>
      <c r="M156" s="654" t="s">
        <v>24</v>
      </c>
      <c r="N156" s="670" t="s">
        <v>86</v>
      </c>
      <c r="O156" s="642">
        <v>0</v>
      </c>
      <c r="P156" s="184">
        <v>0</v>
      </c>
      <c r="Q156" s="184">
        <v>0</v>
      </c>
      <c r="R156" s="184">
        <v>0</v>
      </c>
      <c r="S156" s="184">
        <v>2</v>
      </c>
      <c r="T156" s="184">
        <v>2</v>
      </c>
      <c r="U156" s="184">
        <v>4</v>
      </c>
      <c r="V156" s="184">
        <v>10</v>
      </c>
      <c r="W156" s="184">
        <v>3</v>
      </c>
      <c r="X156" s="184">
        <v>1</v>
      </c>
      <c r="Y156" s="184">
        <v>0</v>
      </c>
      <c r="Z156" s="184">
        <v>0</v>
      </c>
      <c r="AA156" s="184">
        <v>0</v>
      </c>
      <c r="AB156" s="184">
        <v>0</v>
      </c>
      <c r="AC156" s="185">
        <v>40.5</v>
      </c>
      <c r="AD156" s="185">
        <v>46.7</v>
      </c>
      <c r="AE156" s="184">
        <v>0</v>
      </c>
      <c r="AF156" s="185">
        <v>0</v>
      </c>
      <c r="AG156" s="184">
        <v>0</v>
      </c>
      <c r="AH156" s="185">
        <v>0</v>
      </c>
      <c r="AI156" s="184">
        <v>0</v>
      </c>
      <c r="AJ156" s="643">
        <v>0</v>
      </c>
    </row>
    <row r="157" spans="1:36" x14ac:dyDescent="0.2">
      <c r="A157" s="440" t="s">
        <v>87</v>
      </c>
      <c r="B157" s="642">
        <v>19</v>
      </c>
      <c r="C157" s="184">
        <v>0</v>
      </c>
      <c r="D157" s="184">
        <v>16</v>
      </c>
      <c r="E157" s="184">
        <v>0</v>
      </c>
      <c r="F157" s="184">
        <v>2</v>
      </c>
      <c r="G157" s="184">
        <v>1</v>
      </c>
      <c r="H157" s="184">
        <v>0</v>
      </c>
      <c r="I157" s="184">
        <v>0</v>
      </c>
      <c r="J157" s="184">
        <v>0</v>
      </c>
      <c r="K157" s="184">
        <v>0</v>
      </c>
      <c r="L157" s="184">
        <v>0</v>
      </c>
      <c r="M157" s="654" t="s">
        <v>24</v>
      </c>
      <c r="N157" s="670" t="s">
        <v>87</v>
      </c>
      <c r="O157" s="642">
        <v>0</v>
      </c>
      <c r="P157" s="184">
        <v>0</v>
      </c>
      <c r="Q157" s="184">
        <v>0</v>
      </c>
      <c r="R157" s="184">
        <v>0</v>
      </c>
      <c r="S157" s="184">
        <v>0</v>
      </c>
      <c r="T157" s="184">
        <v>1</v>
      </c>
      <c r="U157" s="184">
        <v>5</v>
      </c>
      <c r="V157" s="184">
        <v>10</v>
      </c>
      <c r="W157" s="184">
        <v>1</v>
      </c>
      <c r="X157" s="184">
        <v>2</v>
      </c>
      <c r="Y157" s="184">
        <v>0</v>
      </c>
      <c r="Z157" s="184">
        <v>0</v>
      </c>
      <c r="AA157" s="184">
        <v>0</v>
      </c>
      <c r="AB157" s="184">
        <v>0</v>
      </c>
      <c r="AC157" s="185">
        <v>40.700000000000003</v>
      </c>
      <c r="AD157" s="185">
        <v>45.9</v>
      </c>
      <c r="AE157" s="184">
        <v>0</v>
      </c>
      <c r="AF157" s="185">
        <v>0</v>
      </c>
      <c r="AG157" s="184">
        <v>0</v>
      </c>
      <c r="AH157" s="185">
        <v>0</v>
      </c>
      <c r="AI157" s="184">
        <v>0</v>
      </c>
      <c r="AJ157" s="643">
        <v>0</v>
      </c>
    </row>
    <row r="158" spans="1:36" x14ac:dyDescent="0.2">
      <c r="A158" s="440" t="s">
        <v>53</v>
      </c>
      <c r="B158" s="646">
        <v>21</v>
      </c>
      <c r="C158" s="186">
        <v>0</v>
      </c>
      <c r="D158" s="186">
        <v>17</v>
      </c>
      <c r="E158" s="186">
        <v>2</v>
      </c>
      <c r="F158" s="186">
        <v>2</v>
      </c>
      <c r="G158" s="186">
        <v>0</v>
      </c>
      <c r="H158" s="186">
        <v>0</v>
      </c>
      <c r="I158" s="186">
        <v>0</v>
      </c>
      <c r="J158" s="186">
        <v>0</v>
      </c>
      <c r="K158" s="186">
        <v>0</v>
      </c>
      <c r="L158" s="186">
        <v>0</v>
      </c>
      <c r="M158" s="656" t="s">
        <v>24</v>
      </c>
      <c r="N158" s="670" t="s">
        <v>53</v>
      </c>
      <c r="O158" s="646">
        <v>0</v>
      </c>
      <c r="P158" s="186">
        <v>0</v>
      </c>
      <c r="Q158" s="186">
        <v>0</v>
      </c>
      <c r="R158" s="186">
        <v>0</v>
      </c>
      <c r="S158" s="186">
        <v>1</v>
      </c>
      <c r="T158" s="186">
        <v>3</v>
      </c>
      <c r="U158" s="186">
        <v>9</v>
      </c>
      <c r="V158" s="186">
        <v>4</v>
      </c>
      <c r="W158" s="186">
        <v>3</v>
      </c>
      <c r="X158" s="186">
        <v>1</v>
      </c>
      <c r="Y158" s="186">
        <v>0</v>
      </c>
      <c r="Z158" s="186">
        <v>0</v>
      </c>
      <c r="AA158" s="186">
        <v>0</v>
      </c>
      <c r="AB158" s="186">
        <v>0</v>
      </c>
      <c r="AC158" s="187">
        <v>38.799999999999997</v>
      </c>
      <c r="AD158" s="187">
        <v>46.6</v>
      </c>
      <c r="AE158" s="186">
        <v>0</v>
      </c>
      <c r="AF158" s="187">
        <v>0</v>
      </c>
      <c r="AG158" s="186">
        <v>0</v>
      </c>
      <c r="AH158" s="187">
        <v>0</v>
      </c>
      <c r="AI158" s="186">
        <v>0</v>
      </c>
      <c r="AJ158" s="647">
        <v>0</v>
      </c>
    </row>
    <row r="159" spans="1:36" x14ac:dyDescent="0.2">
      <c r="A159" s="440" t="s">
        <v>88</v>
      </c>
      <c r="B159" s="642">
        <v>28</v>
      </c>
      <c r="C159" s="184">
        <v>0</v>
      </c>
      <c r="D159" s="184">
        <v>18</v>
      </c>
      <c r="E159" s="184">
        <v>3</v>
      </c>
      <c r="F159" s="184">
        <v>7</v>
      </c>
      <c r="G159" s="184">
        <v>0</v>
      </c>
      <c r="H159" s="184">
        <v>0</v>
      </c>
      <c r="I159" s="184">
        <v>0</v>
      </c>
      <c r="J159" s="184">
        <v>0</v>
      </c>
      <c r="K159" s="184">
        <v>0</v>
      </c>
      <c r="L159" s="184">
        <v>0</v>
      </c>
      <c r="M159" s="654" t="s">
        <v>24</v>
      </c>
      <c r="N159" s="670" t="s">
        <v>88</v>
      </c>
      <c r="O159" s="642">
        <v>0</v>
      </c>
      <c r="P159" s="184">
        <v>0</v>
      </c>
      <c r="Q159" s="184">
        <v>0</v>
      </c>
      <c r="R159" s="184">
        <v>0</v>
      </c>
      <c r="S159" s="184">
        <v>3</v>
      </c>
      <c r="T159" s="184">
        <v>15</v>
      </c>
      <c r="U159" s="184">
        <v>5</v>
      </c>
      <c r="V159" s="184">
        <v>2</v>
      </c>
      <c r="W159" s="184">
        <v>1</v>
      </c>
      <c r="X159" s="184">
        <v>2</v>
      </c>
      <c r="Y159" s="184">
        <v>0</v>
      </c>
      <c r="Z159" s="184">
        <v>0</v>
      </c>
      <c r="AA159" s="184">
        <v>0</v>
      </c>
      <c r="AB159" s="184">
        <v>0</v>
      </c>
      <c r="AC159" s="185">
        <v>35.299999999999997</v>
      </c>
      <c r="AD159" s="185">
        <v>41.4</v>
      </c>
      <c r="AE159" s="184">
        <v>0</v>
      </c>
      <c r="AF159" s="185">
        <v>0</v>
      </c>
      <c r="AG159" s="184">
        <v>0</v>
      </c>
      <c r="AH159" s="185">
        <v>0</v>
      </c>
      <c r="AI159" s="184">
        <v>0</v>
      </c>
      <c r="AJ159" s="643">
        <v>0</v>
      </c>
    </row>
    <row r="160" spans="1:36" x14ac:dyDescent="0.2">
      <c r="A160" s="440" t="s">
        <v>89</v>
      </c>
      <c r="B160" s="642">
        <v>11</v>
      </c>
      <c r="C160" s="184">
        <v>0</v>
      </c>
      <c r="D160" s="184">
        <v>10</v>
      </c>
      <c r="E160" s="184">
        <v>1</v>
      </c>
      <c r="F160" s="184">
        <v>0</v>
      </c>
      <c r="G160" s="184">
        <v>0</v>
      </c>
      <c r="H160" s="184">
        <v>0</v>
      </c>
      <c r="I160" s="184">
        <v>0</v>
      </c>
      <c r="J160" s="184">
        <v>0</v>
      </c>
      <c r="K160" s="184">
        <v>0</v>
      </c>
      <c r="L160" s="184">
        <v>0</v>
      </c>
      <c r="M160" s="654" t="s">
        <v>24</v>
      </c>
      <c r="N160" s="670" t="s">
        <v>89</v>
      </c>
      <c r="O160" s="642">
        <v>0</v>
      </c>
      <c r="P160" s="184">
        <v>0</v>
      </c>
      <c r="Q160" s="184">
        <v>0</v>
      </c>
      <c r="R160" s="184">
        <v>1</v>
      </c>
      <c r="S160" s="184">
        <v>1</v>
      </c>
      <c r="T160" s="184">
        <v>3</v>
      </c>
      <c r="U160" s="184">
        <v>4</v>
      </c>
      <c r="V160" s="184">
        <v>1</v>
      </c>
      <c r="W160" s="184">
        <v>1</v>
      </c>
      <c r="X160" s="184">
        <v>0</v>
      </c>
      <c r="Y160" s="184">
        <v>0</v>
      </c>
      <c r="Z160" s="184">
        <v>0</v>
      </c>
      <c r="AA160" s="184">
        <v>0</v>
      </c>
      <c r="AB160" s="184">
        <v>0</v>
      </c>
      <c r="AC160" s="185">
        <v>34.9</v>
      </c>
      <c r="AD160" s="185">
        <v>43.8</v>
      </c>
      <c r="AE160" s="184">
        <v>0</v>
      </c>
      <c r="AF160" s="185">
        <v>0</v>
      </c>
      <c r="AG160" s="184">
        <v>0</v>
      </c>
      <c r="AH160" s="185">
        <v>0</v>
      </c>
      <c r="AI160" s="184">
        <v>0</v>
      </c>
      <c r="AJ160" s="643">
        <v>0</v>
      </c>
    </row>
    <row r="161" spans="1:36" x14ac:dyDescent="0.2">
      <c r="A161" s="440" t="s">
        <v>90</v>
      </c>
      <c r="B161" s="642">
        <v>25</v>
      </c>
      <c r="C161" s="184">
        <v>0</v>
      </c>
      <c r="D161" s="184">
        <v>22</v>
      </c>
      <c r="E161" s="184">
        <v>0</v>
      </c>
      <c r="F161" s="184">
        <v>3</v>
      </c>
      <c r="G161" s="184">
        <v>0</v>
      </c>
      <c r="H161" s="184">
        <v>0</v>
      </c>
      <c r="I161" s="184">
        <v>0</v>
      </c>
      <c r="J161" s="184">
        <v>0</v>
      </c>
      <c r="K161" s="184">
        <v>0</v>
      </c>
      <c r="L161" s="184">
        <v>0</v>
      </c>
      <c r="M161" s="654" t="s">
        <v>24</v>
      </c>
      <c r="N161" s="670" t="s">
        <v>90</v>
      </c>
      <c r="O161" s="642">
        <v>0</v>
      </c>
      <c r="P161" s="184">
        <v>0</v>
      </c>
      <c r="Q161" s="184">
        <v>1</v>
      </c>
      <c r="R161" s="184">
        <v>3</v>
      </c>
      <c r="S161" s="184">
        <v>0</v>
      </c>
      <c r="T161" s="184">
        <v>11</v>
      </c>
      <c r="U161" s="184">
        <v>8</v>
      </c>
      <c r="V161" s="184">
        <v>2</v>
      </c>
      <c r="W161" s="184">
        <v>0</v>
      </c>
      <c r="X161" s="184">
        <v>0</v>
      </c>
      <c r="Y161" s="184">
        <v>0</v>
      </c>
      <c r="Z161" s="184">
        <v>0</v>
      </c>
      <c r="AA161" s="184">
        <v>0</v>
      </c>
      <c r="AB161" s="184">
        <v>0</v>
      </c>
      <c r="AC161" s="185">
        <v>33</v>
      </c>
      <c r="AD161" s="185">
        <v>37.6</v>
      </c>
      <c r="AE161" s="184">
        <v>0</v>
      </c>
      <c r="AF161" s="185">
        <v>0</v>
      </c>
      <c r="AG161" s="184">
        <v>0</v>
      </c>
      <c r="AH161" s="185">
        <v>0</v>
      </c>
      <c r="AI161" s="184">
        <v>0</v>
      </c>
      <c r="AJ161" s="643">
        <v>0</v>
      </c>
    </row>
    <row r="162" spans="1:36" x14ac:dyDescent="0.2">
      <c r="A162" s="440" t="s">
        <v>55</v>
      </c>
      <c r="B162" s="642">
        <v>11</v>
      </c>
      <c r="C162" s="184">
        <v>1</v>
      </c>
      <c r="D162" s="184">
        <v>7</v>
      </c>
      <c r="E162" s="184">
        <v>0</v>
      </c>
      <c r="F162" s="184">
        <v>3</v>
      </c>
      <c r="G162" s="184">
        <v>0</v>
      </c>
      <c r="H162" s="184">
        <v>0</v>
      </c>
      <c r="I162" s="184">
        <v>0</v>
      </c>
      <c r="J162" s="184">
        <v>0</v>
      </c>
      <c r="K162" s="184">
        <v>0</v>
      </c>
      <c r="L162" s="184">
        <v>0</v>
      </c>
      <c r="M162" s="654" t="s">
        <v>24</v>
      </c>
      <c r="N162" s="670" t="s">
        <v>55</v>
      </c>
      <c r="O162" s="642">
        <v>0</v>
      </c>
      <c r="P162" s="184">
        <v>1</v>
      </c>
      <c r="Q162" s="184">
        <v>1</v>
      </c>
      <c r="R162" s="184">
        <v>0</v>
      </c>
      <c r="S162" s="184">
        <v>1</v>
      </c>
      <c r="T162" s="184">
        <v>0</v>
      </c>
      <c r="U162" s="184">
        <v>3</v>
      </c>
      <c r="V162" s="184">
        <v>3</v>
      </c>
      <c r="W162" s="184">
        <v>1</v>
      </c>
      <c r="X162" s="184">
        <v>1</v>
      </c>
      <c r="Y162" s="184">
        <v>0</v>
      </c>
      <c r="Z162" s="184">
        <v>0</v>
      </c>
      <c r="AA162" s="184">
        <v>0</v>
      </c>
      <c r="AB162" s="184">
        <v>0</v>
      </c>
      <c r="AC162" s="185">
        <v>35.5</v>
      </c>
      <c r="AD162" s="185">
        <v>46.5</v>
      </c>
      <c r="AE162" s="184">
        <v>0</v>
      </c>
      <c r="AF162" s="185">
        <v>0</v>
      </c>
      <c r="AG162" s="184">
        <v>0</v>
      </c>
      <c r="AH162" s="185">
        <v>0</v>
      </c>
      <c r="AI162" s="184">
        <v>0</v>
      </c>
      <c r="AJ162" s="643">
        <v>0</v>
      </c>
    </row>
    <row r="163" spans="1:36" x14ac:dyDescent="0.2">
      <c r="A163" s="440" t="s">
        <v>91</v>
      </c>
      <c r="B163" s="642">
        <v>8</v>
      </c>
      <c r="C163" s="184">
        <v>0</v>
      </c>
      <c r="D163" s="184">
        <v>7</v>
      </c>
      <c r="E163" s="184">
        <v>0</v>
      </c>
      <c r="F163" s="184">
        <v>1</v>
      </c>
      <c r="G163" s="184">
        <v>0</v>
      </c>
      <c r="H163" s="184">
        <v>0</v>
      </c>
      <c r="I163" s="184">
        <v>0</v>
      </c>
      <c r="J163" s="184">
        <v>0</v>
      </c>
      <c r="K163" s="184">
        <v>0</v>
      </c>
      <c r="L163" s="184">
        <v>0</v>
      </c>
      <c r="M163" s="654" t="s">
        <v>24</v>
      </c>
      <c r="N163" s="670" t="s">
        <v>91</v>
      </c>
      <c r="O163" s="642">
        <v>0</v>
      </c>
      <c r="P163" s="184">
        <v>0</v>
      </c>
      <c r="Q163" s="184">
        <v>1</v>
      </c>
      <c r="R163" s="184">
        <v>0</v>
      </c>
      <c r="S163" s="184">
        <v>2</v>
      </c>
      <c r="T163" s="184">
        <v>2</v>
      </c>
      <c r="U163" s="184">
        <v>1</v>
      </c>
      <c r="V163" s="184">
        <v>1</v>
      </c>
      <c r="W163" s="184">
        <v>1</v>
      </c>
      <c r="X163" s="184">
        <v>0</v>
      </c>
      <c r="Y163" s="184">
        <v>0</v>
      </c>
      <c r="Z163" s="184">
        <v>0</v>
      </c>
      <c r="AA163" s="184">
        <v>0</v>
      </c>
      <c r="AB163" s="184">
        <v>0</v>
      </c>
      <c r="AC163" s="185">
        <v>33</v>
      </c>
      <c r="AD163" s="185" t="s">
        <v>24</v>
      </c>
      <c r="AE163" s="184">
        <v>0</v>
      </c>
      <c r="AF163" s="185">
        <v>0</v>
      </c>
      <c r="AG163" s="184">
        <v>0</v>
      </c>
      <c r="AH163" s="185">
        <v>0</v>
      </c>
      <c r="AI163" s="184">
        <v>0</v>
      </c>
      <c r="AJ163" s="643">
        <v>0</v>
      </c>
    </row>
    <row r="164" spans="1:36" x14ac:dyDescent="0.2">
      <c r="A164" s="440" t="s">
        <v>92</v>
      </c>
      <c r="B164" s="642">
        <v>11</v>
      </c>
      <c r="C164" s="184">
        <v>0</v>
      </c>
      <c r="D164" s="184">
        <v>9</v>
      </c>
      <c r="E164" s="184">
        <v>0</v>
      </c>
      <c r="F164" s="184">
        <v>2</v>
      </c>
      <c r="G164" s="184">
        <v>0</v>
      </c>
      <c r="H164" s="184">
        <v>0</v>
      </c>
      <c r="I164" s="184">
        <v>0</v>
      </c>
      <c r="J164" s="184">
        <v>0</v>
      </c>
      <c r="K164" s="184">
        <v>0</v>
      </c>
      <c r="L164" s="184">
        <v>0</v>
      </c>
      <c r="M164" s="654" t="s">
        <v>24</v>
      </c>
      <c r="N164" s="670" t="s">
        <v>92</v>
      </c>
      <c r="O164" s="642">
        <v>0</v>
      </c>
      <c r="P164" s="184">
        <v>0</v>
      </c>
      <c r="Q164" s="184">
        <v>0</v>
      </c>
      <c r="R164" s="184">
        <v>1</v>
      </c>
      <c r="S164" s="184">
        <v>2</v>
      </c>
      <c r="T164" s="184">
        <v>1</v>
      </c>
      <c r="U164" s="184">
        <v>5</v>
      </c>
      <c r="V164" s="184">
        <v>0</v>
      </c>
      <c r="W164" s="184">
        <v>1</v>
      </c>
      <c r="X164" s="184">
        <v>1</v>
      </c>
      <c r="Y164" s="184">
        <v>0</v>
      </c>
      <c r="Z164" s="184">
        <v>0</v>
      </c>
      <c r="AA164" s="184">
        <v>0</v>
      </c>
      <c r="AB164" s="184">
        <v>0</v>
      </c>
      <c r="AC164" s="185">
        <v>36.9</v>
      </c>
      <c r="AD164" s="185">
        <v>49</v>
      </c>
      <c r="AE164" s="184">
        <v>0</v>
      </c>
      <c r="AF164" s="185">
        <v>0</v>
      </c>
      <c r="AG164" s="184">
        <v>0</v>
      </c>
      <c r="AH164" s="185">
        <v>0</v>
      </c>
      <c r="AI164" s="184">
        <v>0</v>
      </c>
      <c r="AJ164" s="643">
        <v>0</v>
      </c>
    </row>
    <row r="165" spans="1:36" x14ac:dyDescent="0.2">
      <c r="A165" s="440" t="s">
        <v>93</v>
      </c>
      <c r="B165" s="642">
        <v>9</v>
      </c>
      <c r="C165" s="184">
        <v>0</v>
      </c>
      <c r="D165" s="184">
        <v>8</v>
      </c>
      <c r="E165" s="184">
        <v>0</v>
      </c>
      <c r="F165" s="184">
        <v>1</v>
      </c>
      <c r="G165" s="184">
        <v>0</v>
      </c>
      <c r="H165" s="184">
        <v>0</v>
      </c>
      <c r="I165" s="184">
        <v>0</v>
      </c>
      <c r="J165" s="184">
        <v>0</v>
      </c>
      <c r="K165" s="184">
        <v>0</v>
      </c>
      <c r="L165" s="184">
        <v>0</v>
      </c>
      <c r="M165" s="654" t="s">
        <v>24</v>
      </c>
      <c r="N165" s="670" t="s">
        <v>93</v>
      </c>
      <c r="O165" s="642">
        <v>0</v>
      </c>
      <c r="P165" s="184">
        <v>0</v>
      </c>
      <c r="Q165" s="184">
        <v>0</v>
      </c>
      <c r="R165" s="184">
        <v>0</v>
      </c>
      <c r="S165" s="184">
        <v>1</v>
      </c>
      <c r="T165" s="184">
        <v>2</v>
      </c>
      <c r="U165" s="184">
        <v>5</v>
      </c>
      <c r="V165" s="184">
        <v>1</v>
      </c>
      <c r="W165" s="184">
        <v>0</v>
      </c>
      <c r="X165" s="184">
        <v>0</v>
      </c>
      <c r="Y165" s="184">
        <v>0</v>
      </c>
      <c r="Z165" s="184">
        <v>0</v>
      </c>
      <c r="AA165" s="184">
        <v>0</v>
      </c>
      <c r="AB165" s="184">
        <v>0</v>
      </c>
      <c r="AC165" s="185">
        <v>36.299999999999997</v>
      </c>
      <c r="AD165" s="185" t="s">
        <v>24</v>
      </c>
      <c r="AE165" s="184">
        <v>0</v>
      </c>
      <c r="AF165" s="185">
        <v>0</v>
      </c>
      <c r="AG165" s="184">
        <v>0</v>
      </c>
      <c r="AH165" s="185">
        <v>0</v>
      </c>
      <c r="AI165" s="184">
        <v>0</v>
      </c>
      <c r="AJ165" s="643">
        <v>0</v>
      </c>
    </row>
    <row r="166" spans="1:36" x14ac:dyDescent="0.2">
      <c r="A166" s="440" t="s">
        <v>57</v>
      </c>
      <c r="B166" s="642">
        <v>12</v>
      </c>
      <c r="C166" s="184">
        <v>1</v>
      </c>
      <c r="D166" s="184">
        <v>10</v>
      </c>
      <c r="E166" s="184">
        <v>0</v>
      </c>
      <c r="F166" s="184">
        <v>1</v>
      </c>
      <c r="G166" s="184">
        <v>0</v>
      </c>
      <c r="H166" s="184">
        <v>0</v>
      </c>
      <c r="I166" s="184">
        <v>0</v>
      </c>
      <c r="J166" s="184">
        <v>0</v>
      </c>
      <c r="K166" s="184">
        <v>0</v>
      </c>
      <c r="L166" s="184">
        <v>0</v>
      </c>
      <c r="M166" s="654" t="s">
        <v>24</v>
      </c>
      <c r="N166" s="670" t="s">
        <v>57</v>
      </c>
      <c r="O166" s="642">
        <v>0</v>
      </c>
      <c r="P166" s="184">
        <v>0</v>
      </c>
      <c r="Q166" s="184">
        <v>0</v>
      </c>
      <c r="R166" s="184">
        <v>0</v>
      </c>
      <c r="S166" s="184">
        <v>0</v>
      </c>
      <c r="T166" s="184">
        <v>1</v>
      </c>
      <c r="U166" s="184">
        <v>4</v>
      </c>
      <c r="V166" s="184">
        <v>5</v>
      </c>
      <c r="W166" s="184">
        <v>2</v>
      </c>
      <c r="X166" s="184">
        <v>0</v>
      </c>
      <c r="Y166" s="184">
        <v>0</v>
      </c>
      <c r="Z166" s="184">
        <v>0</v>
      </c>
      <c r="AA166" s="184">
        <v>0</v>
      </c>
      <c r="AB166" s="184">
        <v>0</v>
      </c>
      <c r="AC166" s="185">
        <v>39.700000000000003</v>
      </c>
      <c r="AD166" s="185">
        <v>46.3</v>
      </c>
      <c r="AE166" s="184">
        <v>0</v>
      </c>
      <c r="AF166" s="185">
        <v>0</v>
      </c>
      <c r="AG166" s="184">
        <v>0</v>
      </c>
      <c r="AH166" s="185">
        <v>0</v>
      </c>
      <c r="AI166" s="184">
        <v>0</v>
      </c>
      <c r="AJ166" s="643">
        <v>0</v>
      </c>
    </row>
    <row r="167" spans="1:36" x14ac:dyDescent="0.2">
      <c r="A167" s="440" t="s">
        <v>94</v>
      </c>
      <c r="B167" s="642">
        <v>5</v>
      </c>
      <c r="C167" s="184">
        <v>0</v>
      </c>
      <c r="D167" s="184">
        <v>5</v>
      </c>
      <c r="E167" s="184">
        <v>0</v>
      </c>
      <c r="F167" s="184">
        <v>0</v>
      </c>
      <c r="G167" s="184">
        <v>0</v>
      </c>
      <c r="H167" s="184">
        <v>0</v>
      </c>
      <c r="I167" s="184">
        <v>0</v>
      </c>
      <c r="J167" s="184">
        <v>0</v>
      </c>
      <c r="K167" s="184">
        <v>0</v>
      </c>
      <c r="L167" s="184">
        <v>0</v>
      </c>
      <c r="M167" s="654" t="s">
        <v>24</v>
      </c>
      <c r="N167" s="670" t="s">
        <v>94</v>
      </c>
      <c r="O167" s="642">
        <v>0</v>
      </c>
      <c r="P167" s="184">
        <v>0</v>
      </c>
      <c r="Q167" s="184">
        <v>0</v>
      </c>
      <c r="R167" s="184">
        <v>0</v>
      </c>
      <c r="S167" s="184">
        <v>0</v>
      </c>
      <c r="T167" s="184">
        <v>1</v>
      </c>
      <c r="U167" s="184">
        <v>1</v>
      </c>
      <c r="V167" s="184">
        <v>3</v>
      </c>
      <c r="W167" s="184">
        <v>0</v>
      </c>
      <c r="X167" s="184">
        <v>0</v>
      </c>
      <c r="Y167" s="184">
        <v>0</v>
      </c>
      <c r="Z167" s="184">
        <v>0</v>
      </c>
      <c r="AA167" s="184">
        <v>0</v>
      </c>
      <c r="AB167" s="184">
        <v>0</v>
      </c>
      <c r="AC167" s="185">
        <v>39.299999999999997</v>
      </c>
      <c r="AD167" s="185" t="s">
        <v>24</v>
      </c>
      <c r="AE167" s="184">
        <v>0</v>
      </c>
      <c r="AF167" s="185">
        <v>0</v>
      </c>
      <c r="AG167" s="184">
        <v>0</v>
      </c>
      <c r="AH167" s="185">
        <v>0</v>
      </c>
      <c r="AI167" s="184">
        <v>0</v>
      </c>
      <c r="AJ167" s="643">
        <v>0</v>
      </c>
    </row>
    <row r="168" spans="1:36" x14ac:dyDescent="0.2">
      <c r="A168" s="440" t="s">
        <v>95</v>
      </c>
      <c r="B168" s="642">
        <v>8</v>
      </c>
      <c r="C168" s="184">
        <v>0</v>
      </c>
      <c r="D168" s="184">
        <v>6</v>
      </c>
      <c r="E168" s="184">
        <v>0</v>
      </c>
      <c r="F168" s="184">
        <v>2</v>
      </c>
      <c r="G168" s="184">
        <v>0</v>
      </c>
      <c r="H168" s="184">
        <v>0</v>
      </c>
      <c r="I168" s="184">
        <v>0</v>
      </c>
      <c r="J168" s="184">
        <v>0</v>
      </c>
      <c r="K168" s="184">
        <v>0</v>
      </c>
      <c r="L168" s="184">
        <v>0</v>
      </c>
      <c r="M168" s="654" t="s">
        <v>24</v>
      </c>
      <c r="N168" s="670" t="s">
        <v>95</v>
      </c>
      <c r="O168" s="642">
        <v>0</v>
      </c>
      <c r="P168" s="184">
        <v>0</v>
      </c>
      <c r="Q168" s="184">
        <v>2</v>
      </c>
      <c r="R168" s="184">
        <v>2</v>
      </c>
      <c r="S168" s="184">
        <v>0</v>
      </c>
      <c r="T168" s="184">
        <v>1</v>
      </c>
      <c r="U168" s="184">
        <v>3</v>
      </c>
      <c r="V168" s="184">
        <v>0</v>
      </c>
      <c r="W168" s="184">
        <v>0</v>
      </c>
      <c r="X168" s="184">
        <v>0</v>
      </c>
      <c r="Y168" s="184">
        <v>0</v>
      </c>
      <c r="Z168" s="184">
        <v>0</v>
      </c>
      <c r="AA168" s="184">
        <v>0</v>
      </c>
      <c r="AB168" s="184">
        <v>0</v>
      </c>
      <c r="AC168" s="185">
        <v>28.3</v>
      </c>
      <c r="AD168" s="185" t="s">
        <v>24</v>
      </c>
      <c r="AE168" s="184">
        <v>0</v>
      </c>
      <c r="AF168" s="185">
        <v>0</v>
      </c>
      <c r="AG168" s="184">
        <v>0</v>
      </c>
      <c r="AH168" s="185">
        <v>0</v>
      </c>
      <c r="AI168" s="184">
        <v>0</v>
      </c>
      <c r="AJ168" s="643">
        <v>0</v>
      </c>
    </row>
    <row r="169" spans="1:36" x14ac:dyDescent="0.2">
      <c r="A169" s="440" t="s">
        <v>96</v>
      </c>
      <c r="B169" s="642">
        <v>8</v>
      </c>
      <c r="C169" s="184">
        <v>0</v>
      </c>
      <c r="D169" s="184">
        <v>7</v>
      </c>
      <c r="E169" s="184">
        <v>0</v>
      </c>
      <c r="F169" s="184">
        <v>1</v>
      </c>
      <c r="G169" s="184">
        <v>0</v>
      </c>
      <c r="H169" s="184">
        <v>0</v>
      </c>
      <c r="I169" s="184">
        <v>0</v>
      </c>
      <c r="J169" s="184">
        <v>0</v>
      </c>
      <c r="K169" s="184">
        <v>0</v>
      </c>
      <c r="L169" s="184">
        <v>0</v>
      </c>
      <c r="M169" s="654" t="s">
        <v>24</v>
      </c>
      <c r="N169" s="670" t="s">
        <v>96</v>
      </c>
      <c r="O169" s="642">
        <v>0</v>
      </c>
      <c r="P169" s="184">
        <v>0</v>
      </c>
      <c r="Q169" s="184">
        <v>0</v>
      </c>
      <c r="R169" s="184">
        <v>0</v>
      </c>
      <c r="S169" s="184">
        <v>0</v>
      </c>
      <c r="T169" s="184">
        <v>1</v>
      </c>
      <c r="U169" s="184">
        <v>2</v>
      </c>
      <c r="V169" s="184">
        <v>3</v>
      </c>
      <c r="W169" s="184">
        <v>1</v>
      </c>
      <c r="X169" s="184">
        <v>1</v>
      </c>
      <c r="Y169" s="184">
        <v>0</v>
      </c>
      <c r="Z169" s="184">
        <v>0</v>
      </c>
      <c r="AA169" s="184">
        <v>0</v>
      </c>
      <c r="AB169" s="184">
        <v>0</v>
      </c>
      <c r="AC169" s="185">
        <v>41.3</v>
      </c>
      <c r="AD169" s="185" t="s">
        <v>24</v>
      </c>
      <c r="AE169" s="184">
        <v>0</v>
      </c>
      <c r="AF169" s="185">
        <v>0</v>
      </c>
      <c r="AG169" s="184">
        <v>0</v>
      </c>
      <c r="AH169" s="185">
        <v>0</v>
      </c>
      <c r="AI169" s="184">
        <v>0</v>
      </c>
      <c r="AJ169" s="643">
        <v>0</v>
      </c>
    </row>
    <row r="170" spans="1:36" x14ac:dyDescent="0.2">
      <c r="A170" s="440" t="s">
        <v>58</v>
      </c>
      <c r="B170" s="642">
        <v>11</v>
      </c>
      <c r="C170" s="184">
        <v>0</v>
      </c>
      <c r="D170" s="184">
        <v>8</v>
      </c>
      <c r="E170" s="184">
        <v>2</v>
      </c>
      <c r="F170" s="184">
        <v>1</v>
      </c>
      <c r="G170" s="184">
        <v>0</v>
      </c>
      <c r="H170" s="184">
        <v>0</v>
      </c>
      <c r="I170" s="184">
        <v>0</v>
      </c>
      <c r="J170" s="184">
        <v>0</v>
      </c>
      <c r="K170" s="184">
        <v>0</v>
      </c>
      <c r="L170" s="184">
        <v>0</v>
      </c>
      <c r="M170" s="654" t="s">
        <v>24</v>
      </c>
      <c r="N170" s="670" t="s">
        <v>58</v>
      </c>
      <c r="O170" s="642">
        <v>0</v>
      </c>
      <c r="P170" s="184">
        <v>0</v>
      </c>
      <c r="Q170" s="184">
        <v>0</v>
      </c>
      <c r="R170" s="184">
        <v>0</v>
      </c>
      <c r="S170" s="184">
        <v>2</v>
      </c>
      <c r="T170" s="184">
        <v>1</v>
      </c>
      <c r="U170" s="184">
        <v>4</v>
      </c>
      <c r="V170" s="184">
        <v>3</v>
      </c>
      <c r="W170" s="184">
        <v>1</v>
      </c>
      <c r="X170" s="184">
        <v>0</v>
      </c>
      <c r="Y170" s="184">
        <v>0</v>
      </c>
      <c r="Z170" s="184">
        <v>0</v>
      </c>
      <c r="AA170" s="184">
        <v>0</v>
      </c>
      <c r="AB170" s="184">
        <v>0</v>
      </c>
      <c r="AC170" s="185">
        <v>37.299999999999997</v>
      </c>
      <c r="AD170" s="185">
        <v>43.2</v>
      </c>
      <c r="AE170" s="184">
        <v>0</v>
      </c>
      <c r="AF170" s="185">
        <v>0</v>
      </c>
      <c r="AG170" s="184">
        <v>0</v>
      </c>
      <c r="AH170" s="185">
        <v>0</v>
      </c>
      <c r="AI170" s="184">
        <v>0</v>
      </c>
      <c r="AJ170" s="643">
        <v>0</v>
      </c>
    </row>
    <row r="171" spans="1:36" x14ac:dyDescent="0.2">
      <c r="A171" s="440" t="s">
        <v>97</v>
      </c>
      <c r="B171" s="642">
        <v>4</v>
      </c>
      <c r="C171" s="184">
        <v>0</v>
      </c>
      <c r="D171" s="184">
        <v>4</v>
      </c>
      <c r="E171" s="184">
        <v>0</v>
      </c>
      <c r="F171" s="184">
        <v>0</v>
      </c>
      <c r="G171" s="184">
        <v>0</v>
      </c>
      <c r="H171" s="184">
        <v>0</v>
      </c>
      <c r="I171" s="184">
        <v>0</v>
      </c>
      <c r="J171" s="184">
        <v>0</v>
      </c>
      <c r="K171" s="184">
        <v>0</v>
      </c>
      <c r="L171" s="184">
        <v>0</v>
      </c>
      <c r="M171" s="654" t="s">
        <v>24</v>
      </c>
      <c r="N171" s="670" t="s">
        <v>97</v>
      </c>
      <c r="O171" s="642">
        <v>0</v>
      </c>
      <c r="P171" s="184">
        <v>0</v>
      </c>
      <c r="Q171" s="184">
        <v>0</v>
      </c>
      <c r="R171" s="184">
        <v>0</v>
      </c>
      <c r="S171" s="184">
        <v>0</v>
      </c>
      <c r="T171" s="184">
        <v>0</v>
      </c>
      <c r="U171" s="184">
        <v>2</v>
      </c>
      <c r="V171" s="184">
        <v>2</v>
      </c>
      <c r="W171" s="184">
        <v>0</v>
      </c>
      <c r="X171" s="184">
        <v>0</v>
      </c>
      <c r="Y171" s="184">
        <v>0</v>
      </c>
      <c r="Z171" s="184">
        <v>0</v>
      </c>
      <c r="AA171" s="184">
        <v>0</v>
      </c>
      <c r="AB171" s="184">
        <v>0</v>
      </c>
      <c r="AC171" s="185">
        <v>39.700000000000003</v>
      </c>
      <c r="AD171" s="185" t="s">
        <v>24</v>
      </c>
      <c r="AE171" s="184">
        <v>0</v>
      </c>
      <c r="AF171" s="185">
        <v>0</v>
      </c>
      <c r="AG171" s="184">
        <v>0</v>
      </c>
      <c r="AH171" s="185">
        <v>0</v>
      </c>
      <c r="AI171" s="184">
        <v>0</v>
      </c>
      <c r="AJ171" s="643">
        <v>0</v>
      </c>
    </row>
    <row r="172" spans="1:36" x14ac:dyDescent="0.2">
      <c r="A172" s="440" t="s">
        <v>98</v>
      </c>
      <c r="B172" s="642">
        <v>13</v>
      </c>
      <c r="C172" s="184">
        <v>1</v>
      </c>
      <c r="D172" s="184">
        <v>10</v>
      </c>
      <c r="E172" s="184">
        <v>0</v>
      </c>
      <c r="F172" s="184">
        <v>2</v>
      </c>
      <c r="G172" s="184">
        <v>0</v>
      </c>
      <c r="H172" s="184">
        <v>0</v>
      </c>
      <c r="I172" s="184">
        <v>0</v>
      </c>
      <c r="J172" s="184">
        <v>0</v>
      </c>
      <c r="K172" s="184">
        <v>0</v>
      </c>
      <c r="L172" s="184">
        <v>0</v>
      </c>
      <c r="M172" s="654" t="s">
        <v>24</v>
      </c>
      <c r="N172" s="670" t="s">
        <v>98</v>
      </c>
      <c r="O172" s="642">
        <v>0</v>
      </c>
      <c r="P172" s="184">
        <v>1</v>
      </c>
      <c r="Q172" s="184">
        <v>0</v>
      </c>
      <c r="R172" s="184">
        <v>1</v>
      </c>
      <c r="S172" s="184">
        <v>2</v>
      </c>
      <c r="T172" s="184">
        <v>4</v>
      </c>
      <c r="U172" s="184">
        <v>4</v>
      </c>
      <c r="V172" s="184">
        <v>1</v>
      </c>
      <c r="W172" s="184">
        <v>0</v>
      </c>
      <c r="X172" s="184">
        <v>0</v>
      </c>
      <c r="Y172" s="184">
        <v>0</v>
      </c>
      <c r="Z172" s="184">
        <v>0</v>
      </c>
      <c r="AA172" s="184">
        <v>0</v>
      </c>
      <c r="AB172" s="184">
        <v>0</v>
      </c>
      <c r="AC172" s="185">
        <v>32.4</v>
      </c>
      <c r="AD172" s="185">
        <v>38.200000000000003</v>
      </c>
      <c r="AE172" s="184">
        <v>0</v>
      </c>
      <c r="AF172" s="185">
        <v>0</v>
      </c>
      <c r="AG172" s="184">
        <v>0</v>
      </c>
      <c r="AH172" s="185">
        <v>0</v>
      </c>
      <c r="AI172" s="184">
        <v>0</v>
      </c>
      <c r="AJ172" s="643">
        <v>0</v>
      </c>
    </row>
    <row r="173" spans="1:36" x14ac:dyDescent="0.2">
      <c r="A173" s="440" t="s">
        <v>99</v>
      </c>
      <c r="B173" s="642">
        <v>8</v>
      </c>
      <c r="C173" s="184">
        <v>0</v>
      </c>
      <c r="D173" s="184">
        <v>6</v>
      </c>
      <c r="E173" s="184">
        <v>0</v>
      </c>
      <c r="F173" s="184">
        <v>2</v>
      </c>
      <c r="G173" s="184">
        <v>0</v>
      </c>
      <c r="H173" s="184">
        <v>0</v>
      </c>
      <c r="I173" s="184">
        <v>0</v>
      </c>
      <c r="J173" s="184">
        <v>0</v>
      </c>
      <c r="K173" s="184">
        <v>0</v>
      </c>
      <c r="L173" s="184">
        <v>0</v>
      </c>
      <c r="M173" s="654" t="s">
        <v>24</v>
      </c>
      <c r="N173" s="670" t="s">
        <v>99</v>
      </c>
      <c r="O173" s="642">
        <v>0</v>
      </c>
      <c r="P173" s="184">
        <v>0</v>
      </c>
      <c r="Q173" s="184">
        <v>0</v>
      </c>
      <c r="R173" s="184">
        <v>1</v>
      </c>
      <c r="S173" s="184">
        <v>0</v>
      </c>
      <c r="T173" s="184">
        <v>1</v>
      </c>
      <c r="U173" s="184">
        <v>3</v>
      </c>
      <c r="V173" s="184">
        <v>2</v>
      </c>
      <c r="W173" s="184">
        <v>1</v>
      </c>
      <c r="X173" s="184">
        <v>0</v>
      </c>
      <c r="Y173" s="184">
        <v>0</v>
      </c>
      <c r="Z173" s="184">
        <v>0</v>
      </c>
      <c r="AA173" s="184">
        <v>0</v>
      </c>
      <c r="AB173" s="184">
        <v>0</v>
      </c>
      <c r="AC173" s="185">
        <v>37.799999999999997</v>
      </c>
      <c r="AD173" s="185" t="s">
        <v>24</v>
      </c>
      <c r="AE173" s="184">
        <v>0</v>
      </c>
      <c r="AF173" s="185">
        <v>0</v>
      </c>
      <c r="AG173" s="184">
        <v>0</v>
      </c>
      <c r="AH173" s="185">
        <v>0</v>
      </c>
      <c r="AI173" s="184">
        <v>0</v>
      </c>
      <c r="AJ173" s="643">
        <v>0</v>
      </c>
    </row>
    <row r="174" spans="1:36" x14ac:dyDescent="0.2">
      <c r="A174" s="440" t="s">
        <v>60</v>
      </c>
      <c r="B174" s="642">
        <v>6</v>
      </c>
      <c r="C174" s="184">
        <v>0</v>
      </c>
      <c r="D174" s="184">
        <v>6</v>
      </c>
      <c r="E174" s="184">
        <v>0</v>
      </c>
      <c r="F174" s="184">
        <v>0</v>
      </c>
      <c r="G174" s="184">
        <v>0</v>
      </c>
      <c r="H174" s="184">
        <v>0</v>
      </c>
      <c r="I174" s="184">
        <v>0</v>
      </c>
      <c r="J174" s="184">
        <v>0</v>
      </c>
      <c r="K174" s="184">
        <v>0</v>
      </c>
      <c r="L174" s="184">
        <v>0</v>
      </c>
      <c r="M174" s="654" t="s">
        <v>24</v>
      </c>
      <c r="N174" s="670" t="s">
        <v>60</v>
      </c>
      <c r="O174" s="642">
        <v>0</v>
      </c>
      <c r="P174" s="184">
        <v>0</v>
      </c>
      <c r="Q174" s="184">
        <v>0</v>
      </c>
      <c r="R174" s="184">
        <v>0</v>
      </c>
      <c r="S174" s="184">
        <v>0</v>
      </c>
      <c r="T174" s="184">
        <v>0</v>
      </c>
      <c r="U174" s="184">
        <v>4</v>
      </c>
      <c r="V174" s="184">
        <v>1</v>
      </c>
      <c r="W174" s="184">
        <v>0</v>
      </c>
      <c r="X174" s="184">
        <v>1</v>
      </c>
      <c r="Y174" s="184">
        <v>0</v>
      </c>
      <c r="Z174" s="184">
        <v>0</v>
      </c>
      <c r="AA174" s="184">
        <v>0</v>
      </c>
      <c r="AB174" s="184">
        <v>0</v>
      </c>
      <c r="AC174" s="185">
        <v>41</v>
      </c>
      <c r="AD174" s="185" t="s">
        <v>24</v>
      </c>
      <c r="AE174" s="184">
        <v>0</v>
      </c>
      <c r="AF174" s="185">
        <v>0</v>
      </c>
      <c r="AG174" s="184">
        <v>0</v>
      </c>
      <c r="AH174" s="185">
        <v>0</v>
      </c>
      <c r="AI174" s="184">
        <v>0</v>
      </c>
      <c r="AJ174" s="643">
        <v>0</v>
      </c>
    </row>
    <row r="175" spans="1:36" x14ac:dyDescent="0.2">
      <c r="A175" s="440" t="s">
        <v>100</v>
      </c>
      <c r="B175" s="642">
        <v>7</v>
      </c>
      <c r="C175" s="184">
        <v>0</v>
      </c>
      <c r="D175" s="184">
        <v>6</v>
      </c>
      <c r="E175" s="184">
        <v>0</v>
      </c>
      <c r="F175" s="184">
        <v>1</v>
      </c>
      <c r="G175" s="184">
        <v>0</v>
      </c>
      <c r="H175" s="184">
        <v>0</v>
      </c>
      <c r="I175" s="184">
        <v>0</v>
      </c>
      <c r="J175" s="184">
        <v>0</v>
      </c>
      <c r="K175" s="184">
        <v>0</v>
      </c>
      <c r="L175" s="184">
        <v>0</v>
      </c>
      <c r="M175" s="654" t="s">
        <v>24</v>
      </c>
      <c r="N175" s="670" t="s">
        <v>100</v>
      </c>
      <c r="O175" s="642">
        <v>0</v>
      </c>
      <c r="P175" s="184">
        <v>0</v>
      </c>
      <c r="Q175" s="184">
        <v>0</v>
      </c>
      <c r="R175" s="184">
        <v>0</v>
      </c>
      <c r="S175" s="184">
        <v>0</v>
      </c>
      <c r="T175" s="184">
        <v>1</v>
      </c>
      <c r="U175" s="184">
        <v>4</v>
      </c>
      <c r="V175" s="184">
        <v>0</v>
      </c>
      <c r="W175" s="184">
        <v>1</v>
      </c>
      <c r="X175" s="184">
        <v>1</v>
      </c>
      <c r="Y175" s="184">
        <v>0</v>
      </c>
      <c r="Z175" s="184">
        <v>0</v>
      </c>
      <c r="AA175" s="184">
        <v>0</v>
      </c>
      <c r="AB175" s="184">
        <v>0</v>
      </c>
      <c r="AC175" s="185">
        <v>40.5</v>
      </c>
      <c r="AD175" s="185" t="s">
        <v>24</v>
      </c>
      <c r="AE175" s="184">
        <v>0</v>
      </c>
      <c r="AF175" s="185">
        <v>0</v>
      </c>
      <c r="AG175" s="184">
        <v>0</v>
      </c>
      <c r="AH175" s="185">
        <v>0</v>
      </c>
      <c r="AI175" s="184">
        <v>0</v>
      </c>
      <c r="AJ175" s="643">
        <v>0</v>
      </c>
    </row>
    <row r="176" spans="1:36" x14ac:dyDescent="0.2">
      <c r="A176" s="440" t="s">
        <v>101</v>
      </c>
      <c r="B176" s="642">
        <v>10</v>
      </c>
      <c r="C176" s="184">
        <v>0</v>
      </c>
      <c r="D176" s="184">
        <v>10</v>
      </c>
      <c r="E176" s="184">
        <v>0</v>
      </c>
      <c r="F176" s="184">
        <v>0</v>
      </c>
      <c r="G176" s="184">
        <v>0</v>
      </c>
      <c r="H176" s="184">
        <v>0</v>
      </c>
      <c r="I176" s="184">
        <v>0</v>
      </c>
      <c r="J176" s="184">
        <v>0</v>
      </c>
      <c r="K176" s="184">
        <v>0</v>
      </c>
      <c r="L176" s="184">
        <v>0</v>
      </c>
      <c r="M176" s="654" t="s">
        <v>24</v>
      </c>
      <c r="N176" s="670" t="s">
        <v>101</v>
      </c>
      <c r="O176" s="642">
        <v>0</v>
      </c>
      <c r="P176" s="184">
        <v>0</v>
      </c>
      <c r="Q176" s="184">
        <v>0</v>
      </c>
      <c r="R176" s="184">
        <v>0</v>
      </c>
      <c r="S176" s="184">
        <v>1</v>
      </c>
      <c r="T176" s="184">
        <v>0</v>
      </c>
      <c r="U176" s="184">
        <v>2</v>
      </c>
      <c r="V176" s="184">
        <v>4</v>
      </c>
      <c r="W176" s="184">
        <v>1</v>
      </c>
      <c r="X176" s="184">
        <v>2</v>
      </c>
      <c r="Y176" s="184">
        <v>0</v>
      </c>
      <c r="Z176" s="184">
        <v>0</v>
      </c>
      <c r="AA176" s="184">
        <v>0</v>
      </c>
      <c r="AB176" s="184">
        <v>0</v>
      </c>
      <c r="AC176" s="185">
        <v>42.7</v>
      </c>
      <c r="AD176" s="185" t="s">
        <v>24</v>
      </c>
      <c r="AE176" s="184">
        <v>0</v>
      </c>
      <c r="AF176" s="185">
        <v>0</v>
      </c>
      <c r="AG176" s="184">
        <v>0</v>
      </c>
      <c r="AH176" s="185">
        <v>0</v>
      </c>
      <c r="AI176" s="184">
        <v>0</v>
      </c>
      <c r="AJ176" s="643">
        <v>0</v>
      </c>
    </row>
    <row r="177" spans="1:36" x14ac:dyDescent="0.2">
      <c r="A177" s="440" t="s">
        <v>102</v>
      </c>
      <c r="B177" s="642">
        <v>9</v>
      </c>
      <c r="C177" s="184">
        <v>0</v>
      </c>
      <c r="D177" s="184">
        <v>8</v>
      </c>
      <c r="E177" s="184">
        <v>0</v>
      </c>
      <c r="F177" s="184">
        <v>0</v>
      </c>
      <c r="G177" s="184">
        <v>0</v>
      </c>
      <c r="H177" s="184">
        <v>0</v>
      </c>
      <c r="I177" s="184">
        <v>1</v>
      </c>
      <c r="J177" s="184">
        <v>0</v>
      </c>
      <c r="K177" s="184">
        <v>0</v>
      </c>
      <c r="L177" s="184">
        <v>0</v>
      </c>
      <c r="M177" s="654" t="s">
        <v>24</v>
      </c>
      <c r="N177" s="670" t="s">
        <v>102</v>
      </c>
      <c r="O177" s="642">
        <v>0</v>
      </c>
      <c r="P177" s="184">
        <v>0</v>
      </c>
      <c r="Q177" s="184">
        <v>0</v>
      </c>
      <c r="R177" s="184">
        <v>0</v>
      </c>
      <c r="S177" s="184">
        <v>2</v>
      </c>
      <c r="T177" s="184">
        <v>3</v>
      </c>
      <c r="U177" s="184">
        <v>1</v>
      </c>
      <c r="V177" s="184">
        <v>3</v>
      </c>
      <c r="W177" s="184">
        <v>0</v>
      </c>
      <c r="X177" s="184">
        <v>0</v>
      </c>
      <c r="Y177" s="184">
        <v>0</v>
      </c>
      <c r="Z177" s="184">
        <v>0</v>
      </c>
      <c r="AA177" s="184">
        <v>0</v>
      </c>
      <c r="AB177" s="184">
        <v>0</v>
      </c>
      <c r="AC177" s="185">
        <v>34.4</v>
      </c>
      <c r="AD177" s="185" t="s">
        <v>24</v>
      </c>
      <c r="AE177" s="184">
        <v>0</v>
      </c>
      <c r="AF177" s="185">
        <v>0</v>
      </c>
      <c r="AG177" s="184">
        <v>0</v>
      </c>
      <c r="AH177" s="185">
        <v>0</v>
      </c>
      <c r="AI177" s="184">
        <v>0</v>
      </c>
      <c r="AJ177" s="643">
        <v>0</v>
      </c>
    </row>
    <row r="178" spans="1:36" x14ac:dyDescent="0.2">
      <c r="A178" s="440" t="s">
        <v>62</v>
      </c>
      <c r="B178" s="642">
        <v>12</v>
      </c>
      <c r="C178" s="184">
        <v>0</v>
      </c>
      <c r="D178" s="184">
        <v>12</v>
      </c>
      <c r="E178" s="184">
        <v>0</v>
      </c>
      <c r="F178" s="184">
        <v>0</v>
      </c>
      <c r="G178" s="184">
        <v>0</v>
      </c>
      <c r="H178" s="184">
        <v>0</v>
      </c>
      <c r="I178" s="184">
        <v>0</v>
      </c>
      <c r="J178" s="184">
        <v>0</v>
      </c>
      <c r="K178" s="184">
        <v>0</v>
      </c>
      <c r="L178" s="184">
        <v>0</v>
      </c>
      <c r="M178" s="654" t="s">
        <v>24</v>
      </c>
      <c r="N178" s="670" t="s">
        <v>62</v>
      </c>
      <c r="O178" s="642">
        <v>0</v>
      </c>
      <c r="P178" s="184">
        <v>0</v>
      </c>
      <c r="Q178" s="184">
        <v>0</v>
      </c>
      <c r="R178" s="184">
        <v>0</v>
      </c>
      <c r="S178" s="184">
        <v>0</v>
      </c>
      <c r="T178" s="184">
        <v>1</v>
      </c>
      <c r="U178" s="184">
        <v>6</v>
      </c>
      <c r="V178" s="184">
        <v>2</v>
      </c>
      <c r="W178" s="184">
        <v>2</v>
      </c>
      <c r="X178" s="184">
        <v>1</v>
      </c>
      <c r="Y178" s="184">
        <v>0</v>
      </c>
      <c r="Z178" s="184">
        <v>0</v>
      </c>
      <c r="AA178" s="184">
        <v>0</v>
      </c>
      <c r="AB178" s="184">
        <v>0</v>
      </c>
      <c r="AC178" s="185">
        <v>40.9</v>
      </c>
      <c r="AD178" s="185">
        <v>47.7</v>
      </c>
      <c r="AE178" s="184">
        <v>0</v>
      </c>
      <c r="AF178" s="185">
        <v>0</v>
      </c>
      <c r="AG178" s="184">
        <v>0</v>
      </c>
      <c r="AH178" s="185">
        <v>0</v>
      </c>
      <c r="AI178" s="184">
        <v>0</v>
      </c>
      <c r="AJ178" s="643">
        <v>0</v>
      </c>
    </row>
    <row r="179" spans="1:36" x14ac:dyDescent="0.2">
      <c r="A179" s="440" t="s">
        <v>103</v>
      </c>
      <c r="B179" s="642">
        <v>10</v>
      </c>
      <c r="C179" s="184">
        <v>1</v>
      </c>
      <c r="D179" s="184">
        <v>8</v>
      </c>
      <c r="E179" s="184">
        <v>0</v>
      </c>
      <c r="F179" s="184">
        <v>1</v>
      </c>
      <c r="G179" s="184">
        <v>0</v>
      </c>
      <c r="H179" s="184">
        <v>0</v>
      </c>
      <c r="I179" s="184">
        <v>0</v>
      </c>
      <c r="J179" s="184">
        <v>0</v>
      </c>
      <c r="K179" s="184">
        <v>0</v>
      </c>
      <c r="L179" s="184">
        <v>0</v>
      </c>
      <c r="M179" s="654" t="s">
        <v>24</v>
      </c>
      <c r="N179" s="670" t="s">
        <v>103</v>
      </c>
      <c r="O179" s="642">
        <v>0</v>
      </c>
      <c r="P179" s="184">
        <v>1</v>
      </c>
      <c r="Q179" s="184">
        <v>0</v>
      </c>
      <c r="R179" s="184">
        <v>2</v>
      </c>
      <c r="S179" s="184">
        <v>0</v>
      </c>
      <c r="T179" s="184">
        <v>2</v>
      </c>
      <c r="U179" s="184">
        <v>2</v>
      </c>
      <c r="V179" s="184">
        <v>1</v>
      </c>
      <c r="W179" s="184">
        <v>1</v>
      </c>
      <c r="X179" s="184">
        <v>1</v>
      </c>
      <c r="Y179" s="184">
        <v>0</v>
      </c>
      <c r="Z179" s="184">
        <v>0</v>
      </c>
      <c r="AA179" s="184">
        <v>0</v>
      </c>
      <c r="AB179" s="184">
        <v>0</v>
      </c>
      <c r="AC179" s="185">
        <v>34.200000000000003</v>
      </c>
      <c r="AD179" s="185" t="s">
        <v>24</v>
      </c>
      <c r="AE179" s="184">
        <v>0</v>
      </c>
      <c r="AF179" s="185">
        <v>0</v>
      </c>
      <c r="AG179" s="184">
        <v>0</v>
      </c>
      <c r="AH179" s="185">
        <v>0</v>
      </c>
      <c r="AI179" s="184">
        <v>0</v>
      </c>
      <c r="AJ179" s="643">
        <v>0</v>
      </c>
    </row>
    <row r="180" spans="1:36" x14ac:dyDescent="0.2">
      <c r="A180" s="440" t="s">
        <v>104</v>
      </c>
      <c r="B180" s="642">
        <v>5</v>
      </c>
      <c r="C180" s="184">
        <v>0</v>
      </c>
      <c r="D180" s="184">
        <v>5</v>
      </c>
      <c r="E180" s="184">
        <v>0</v>
      </c>
      <c r="F180" s="184">
        <v>0</v>
      </c>
      <c r="G180" s="184">
        <v>0</v>
      </c>
      <c r="H180" s="184">
        <v>0</v>
      </c>
      <c r="I180" s="184">
        <v>0</v>
      </c>
      <c r="J180" s="184">
        <v>0</v>
      </c>
      <c r="K180" s="184">
        <v>0</v>
      </c>
      <c r="L180" s="184">
        <v>0</v>
      </c>
      <c r="M180" s="654" t="s">
        <v>24</v>
      </c>
      <c r="N180" s="670" t="s">
        <v>104</v>
      </c>
      <c r="O180" s="642">
        <v>0</v>
      </c>
      <c r="P180" s="184">
        <v>0</v>
      </c>
      <c r="Q180" s="184">
        <v>0</v>
      </c>
      <c r="R180" s="184">
        <v>1</v>
      </c>
      <c r="S180" s="184">
        <v>0</v>
      </c>
      <c r="T180" s="184">
        <v>0</v>
      </c>
      <c r="U180" s="184">
        <v>3</v>
      </c>
      <c r="V180" s="184">
        <v>0</v>
      </c>
      <c r="W180" s="184">
        <v>1</v>
      </c>
      <c r="X180" s="184">
        <v>0</v>
      </c>
      <c r="Y180" s="184">
        <v>0</v>
      </c>
      <c r="Z180" s="184">
        <v>0</v>
      </c>
      <c r="AA180" s="184">
        <v>0</v>
      </c>
      <c r="AB180" s="184">
        <v>0</v>
      </c>
      <c r="AC180" s="185">
        <v>35.9</v>
      </c>
      <c r="AD180" s="185" t="s">
        <v>24</v>
      </c>
      <c r="AE180" s="184">
        <v>0</v>
      </c>
      <c r="AF180" s="185">
        <v>0</v>
      </c>
      <c r="AG180" s="184">
        <v>0</v>
      </c>
      <c r="AH180" s="185">
        <v>0</v>
      </c>
      <c r="AI180" s="184">
        <v>0</v>
      </c>
      <c r="AJ180" s="643">
        <v>0</v>
      </c>
    </row>
    <row r="181" spans="1:36" x14ac:dyDescent="0.2">
      <c r="A181" s="440" t="s">
        <v>105</v>
      </c>
      <c r="B181" s="642">
        <v>7</v>
      </c>
      <c r="C181" s="184">
        <v>0</v>
      </c>
      <c r="D181" s="184">
        <v>6</v>
      </c>
      <c r="E181" s="184">
        <v>0</v>
      </c>
      <c r="F181" s="184">
        <v>1</v>
      </c>
      <c r="G181" s="184">
        <v>0</v>
      </c>
      <c r="H181" s="184">
        <v>0</v>
      </c>
      <c r="I181" s="184">
        <v>0</v>
      </c>
      <c r="J181" s="184">
        <v>0</v>
      </c>
      <c r="K181" s="184">
        <v>0</v>
      </c>
      <c r="L181" s="184">
        <v>0</v>
      </c>
      <c r="M181" s="654" t="s">
        <v>24</v>
      </c>
      <c r="N181" s="670" t="s">
        <v>105</v>
      </c>
      <c r="O181" s="642">
        <v>0</v>
      </c>
      <c r="P181" s="184">
        <v>0</v>
      </c>
      <c r="Q181" s="184">
        <v>0</v>
      </c>
      <c r="R181" s="184">
        <v>0</v>
      </c>
      <c r="S181" s="184">
        <v>0</v>
      </c>
      <c r="T181" s="184">
        <v>1</v>
      </c>
      <c r="U181" s="184">
        <v>3</v>
      </c>
      <c r="V181" s="184">
        <v>0</v>
      </c>
      <c r="W181" s="184">
        <v>2</v>
      </c>
      <c r="X181" s="184">
        <v>1</v>
      </c>
      <c r="Y181" s="184">
        <v>0</v>
      </c>
      <c r="Z181" s="184">
        <v>0</v>
      </c>
      <c r="AA181" s="184">
        <v>0</v>
      </c>
      <c r="AB181" s="184">
        <v>0</v>
      </c>
      <c r="AC181" s="185">
        <v>42.7</v>
      </c>
      <c r="AD181" s="185" t="s">
        <v>24</v>
      </c>
      <c r="AE181" s="184">
        <v>0</v>
      </c>
      <c r="AF181" s="185">
        <v>0</v>
      </c>
      <c r="AG181" s="184">
        <v>0</v>
      </c>
      <c r="AH181" s="185">
        <v>0</v>
      </c>
      <c r="AI181" s="184">
        <v>0</v>
      </c>
      <c r="AJ181" s="643">
        <v>0</v>
      </c>
    </row>
    <row r="182" spans="1:36" x14ac:dyDescent="0.2">
      <c r="A182" s="440" t="s">
        <v>64</v>
      </c>
      <c r="B182" s="642">
        <v>13</v>
      </c>
      <c r="C182" s="184">
        <v>0</v>
      </c>
      <c r="D182" s="184">
        <v>12</v>
      </c>
      <c r="E182" s="184">
        <v>0</v>
      </c>
      <c r="F182" s="184">
        <v>1</v>
      </c>
      <c r="G182" s="184">
        <v>0</v>
      </c>
      <c r="H182" s="184">
        <v>0</v>
      </c>
      <c r="I182" s="184">
        <v>0</v>
      </c>
      <c r="J182" s="184">
        <v>0</v>
      </c>
      <c r="K182" s="184">
        <v>0</v>
      </c>
      <c r="L182" s="184">
        <v>0</v>
      </c>
      <c r="M182" s="654" t="s">
        <v>24</v>
      </c>
      <c r="N182" s="670" t="s">
        <v>64</v>
      </c>
      <c r="O182" s="642">
        <v>0</v>
      </c>
      <c r="P182" s="184">
        <v>1</v>
      </c>
      <c r="Q182" s="184">
        <v>0</v>
      </c>
      <c r="R182" s="184">
        <v>1</v>
      </c>
      <c r="S182" s="184">
        <v>0</v>
      </c>
      <c r="T182" s="184">
        <v>0</v>
      </c>
      <c r="U182" s="184">
        <v>5</v>
      </c>
      <c r="V182" s="184">
        <v>4</v>
      </c>
      <c r="W182" s="184">
        <v>2</v>
      </c>
      <c r="X182" s="184">
        <v>0</v>
      </c>
      <c r="Y182" s="184">
        <v>0</v>
      </c>
      <c r="Z182" s="184">
        <v>0</v>
      </c>
      <c r="AA182" s="184">
        <v>0</v>
      </c>
      <c r="AB182" s="184">
        <v>0</v>
      </c>
      <c r="AC182" s="185">
        <v>37.700000000000003</v>
      </c>
      <c r="AD182" s="185">
        <v>47.3</v>
      </c>
      <c r="AE182" s="184">
        <v>0</v>
      </c>
      <c r="AF182" s="185">
        <v>0</v>
      </c>
      <c r="AG182" s="184">
        <v>0</v>
      </c>
      <c r="AH182" s="185">
        <v>0</v>
      </c>
      <c r="AI182" s="184">
        <v>0</v>
      </c>
      <c r="AJ182" s="643">
        <v>0</v>
      </c>
    </row>
    <row r="183" spans="1:36" x14ac:dyDescent="0.2">
      <c r="A183" s="440" t="s">
        <v>106</v>
      </c>
      <c r="B183" s="642">
        <v>17</v>
      </c>
      <c r="C183" s="184">
        <v>0</v>
      </c>
      <c r="D183" s="184">
        <v>17</v>
      </c>
      <c r="E183" s="184">
        <v>0</v>
      </c>
      <c r="F183" s="184">
        <v>0</v>
      </c>
      <c r="G183" s="184">
        <v>0</v>
      </c>
      <c r="H183" s="184">
        <v>0</v>
      </c>
      <c r="I183" s="184">
        <v>0</v>
      </c>
      <c r="J183" s="184">
        <v>0</v>
      </c>
      <c r="K183" s="184">
        <v>0</v>
      </c>
      <c r="L183" s="184">
        <v>0</v>
      </c>
      <c r="M183" s="654" t="s">
        <v>24</v>
      </c>
      <c r="N183" s="670" t="s">
        <v>106</v>
      </c>
      <c r="O183" s="642">
        <v>0</v>
      </c>
      <c r="P183" s="184">
        <v>0</v>
      </c>
      <c r="Q183" s="184">
        <v>0</v>
      </c>
      <c r="R183" s="184">
        <v>0</v>
      </c>
      <c r="S183" s="184">
        <v>1</v>
      </c>
      <c r="T183" s="184">
        <v>1</v>
      </c>
      <c r="U183" s="184">
        <v>3</v>
      </c>
      <c r="V183" s="184">
        <v>8</v>
      </c>
      <c r="W183" s="184">
        <v>4</v>
      </c>
      <c r="X183" s="184">
        <v>0</v>
      </c>
      <c r="Y183" s="184">
        <v>0</v>
      </c>
      <c r="Z183" s="184">
        <v>0</v>
      </c>
      <c r="AA183" s="184">
        <v>0</v>
      </c>
      <c r="AB183" s="184">
        <v>0</v>
      </c>
      <c r="AC183" s="185">
        <v>41.7</v>
      </c>
      <c r="AD183" s="185">
        <v>47.9</v>
      </c>
      <c r="AE183" s="184">
        <v>0</v>
      </c>
      <c r="AF183" s="185">
        <v>0</v>
      </c>
      <c r="AG183" s="184">
        <v>0</v>
      </c>
      <c r="AH183" s="185">
        <v>0</v>
      </c>
      <c r="AI183" s="184">
        <v>0</v>
      </c>
      <c r="AJ183" s="643">
        <v>0</v>
      </c>
    </row>
    <row r="184" spans="1:36" x14ac:dyDescent="0.2">
      <c r="A184" s="440" t="s">
        <v>107</v>
      </c>
      <c r="B184" s="642">
        <v>11</v>
      </c>
      <c r="C184" s="184">
        <v>0</v>
      </c>
      <c r="D184" s="184">
        <v>9</v>
      </c>
      <c r="E184" s="184">
        <v>0</v>
      </c>
      <c r="F184" s="184">
        <v>2</v>
      </c>
      <c r="G184" s="184">
        <v>0</v>
      </c>
      <c r="H184" s="184">
        <v>0</v>
      </c>
      <c r="I184" s="184">
        <v>0</v>
      </c>
      <c r="J184" s="184">
        <v>0</v>
      </c>
      <c r="K184" s="184">
        <v>0</v>
      </c>
      <c r="L184" s="184">
        <v>0</v>
      </c>
      <c r="M184" s="654" t="s">
        <v>24</v>
      </c>
      <c r="N184" s="670" t="s">
        <v>107</v>
      </c>
      <c r="O184" s="642">
        <v>0</v>
      </c>
      <c r="P184" s="184">
        <v>0</v>
      </c>
      <c r="Q184" s="184">
        <v>0</v>
      </c>
      <c r="R184" s="184">
        <v>2</v>
      </c>
      <c r="S184" s="184">
        <v>0</v>
      </c>
      <c r="T184" s="184">
        <v>0</v>
      </c>
      <c r="U184" s="184">
        <v>1</v>
      </c>
      <c r="V184" s="184">
        <v>4</v>
      </c>
      <c r="W184" s="184">
        <v>3</v>
      </c>
      <c r="X184" s="184">
        <v>1</v>
      </c>
      <c r="Y184" s="184">
        <v>0</v>
      </c>
      <c r="Z184" s="184">
        <v>0</v>
      </c>
      <c r="AA184" s="184">
        <v>0</v>
      </c>
      <c r="AB184" s="184">
        <v>0</v>
      </c>
      <c r="AC184" s="185">
        <v>40.200000000000003</v>
      </c>
      <c r="AD184" s="185">
        <v>49.3</v>
      </c>
      <c r="AE184" s="184">
        <v>0</v>
      </c>
      <c r="AF184" s="185">
        <v>0</v>
      </c>
      <c r="AG184" s="184">
        <v>0</v>
      </c>
      <c r="AH184" s="185">
        <v>0</v>
      </c>
      <c r="AI184" s="184">
        <v>0</v>
      </c>
      <c r="AJ184" s="643">
        <v>0</v>
      </c>
    </row>
    <row r="185" spans="1:36" x14ac:dyDescent="0.2">
      <c r="A185" s="440" t="s">
        <v>108</v>
      </c>
      <c r="B185" s="642">
        <v>8</v>
      </c>
      <c r="C185" s="184">
        <v>0</v>
      </c>
      <c r="D185" s="184">
        <v>7</v>
      </c>
      <c r="E185" s="184">
        <v>0</v>
      </c>
      <c r="F185" s="184">
        <v>1</v>
      </c>
      <c r="G185" s="184">
        <v>0</v>
      </c>
      <c r="H185" s="184">
        <v>0</v>
      </c>
      <c r="I185" s="184">
        <v>0</v>
      </c>
      <c r="J185" s="184">
        <v>0</v>
      </c>
      <c r="K185" s="184">
        <v>0</v>
      </c>
      <c r="L185" s="184">
        <v>0</v>
      </c>
      <c r="M185" s="654" t="s">
        <v>24</v>
      </c>
      <c r="N185" s="670" t="s">
        <v>108</v>
      </c>
      <c r="O185" s="642">
        <v>0</v>
      </c>
      <c r="P185" s="184">
        <v>0</v>
      </c>
      <c r="Q185" s="184">
        <v>0</v>
      </c>
      <c r="R185" s="184">
        <v>0</v>
      </c>
      <c r="S185" s="184">
        <v>1</v>
      </c>
      <c r="T185" s="184">
        <v>2</v>
      </c>
      <c r="U185" s="184">
        <v>3</v>
      </c>
      <c r="V185" s="184">
        <v>2</v>
      </c>
      <c r="W185" s="184">
        <v>0</v>
      </c>
      <c r="X185" s="184">
        <v>0</v>
      </c>
      <c r="Y185" s="184">
        <v>0</v>
      </c>
      <c r="Z185" s="184">
        <v>0</v>
      </c>
      <c r="AA185" s="184">
        <v>0</v>
      </c>
      <c r="AB185" s="184">
        <v>0</v>
      </c>
      <c r="AC185" s="185">
        <v>36.200000000000003</v>
      </c>
      <c r="AD185" s="185" t="s">
        <v>24</v>
      </c>
      <c r="AE185" s="184">
        <v>0</v>
      </c>
      <c r="AF185" s="185">
        <v>0</v>
      </c>
      <c r="AG185" s="184">
        <v>0</v>
      </c>
      <c r="AH185" s="185">
        <v>0</v>
      </c>
      <c r="AI185" s="184">
        <v>0</v>
      </c>
      <c r="AJ185" s="643">
        <v>0</v>
      </c>
    </row>
    <row r="186" spans="1:36" x14ac:dyDescent="0.2">
      <c r="A186" s="440" t="s">
        <v>65</v>
      </c>
      <c r="B186" s="646">
        <v>9</v>
      </c>
      <c r="C186" s="186">
        <v>0</v>
      </c>
      <c r="D186" s="186">
        <v>8</v>
      </c>
      <c r="E186" s="186">
        <v>0</v>
      </c>
      <c r="F186" s="186">
        <v>1</v>
      </c>
      <c r="G186" s="186">
        <v>0</v>
      </c>
      <c r="H186" s="186">
        <v>0</v>
      </c>
      <c r="I186" s="186">
        <v>0</v>
      </c>
      <c r="J186" s="186">
        <v>0</v>
      </c>
      <c r="K186" s="186">
        <v>0</v>
      </c>
      <c r="L186" s="186">
        <v>0</v>
      </c>
      <c r="M186" s="656" t="s">
        <v>24</v>
      </c>
      <c r="N186" s="670" t="s">
        <v>65</v>
      </c>
      <c r="O186" s="646">
        <v>0</v>
      </c>
      <c r="P186" s="186">
        <v>0</v>
      </c>
      <c r="Q186" s="186">
        <v>0</v>
      </c>
      <c r="R186" s="186">
        <v>0</v>
      </c>
      <c r="S186" s="186">
        <v>0</v>
      </c>
      <c r="T186" s="186">
        <v>4</v>
      </c>
      <c r="U186" s="186">
        <v>0</v>
      </c>
      <c r="V186" s="186">
        <v>1</v>
      </c>
      <c r="W186" s="186">
        <v>2</v>
      </c>
      <c r="X186" s="186">
        <v>2</v>
      </c>
      <c r="Y186" s="186">
        <v>0</v>
      </c>
      <c r="Z186" s="186">
        <v>0</v>
      </c>
      <c r="AA186" s="186">
        <v>0</v>
      </c>
      <c r="AB186" s="186">
        <v>0</v>
      </c>
      <c r="AC186" s="187">
        <v>41.7</v>
      </c>
      <c r="AD186" s="187" t="s">
        <v>24</v>
      </c>
      <c r="AE186" s="186">
        <v>0</v>
      </c>
      <c r="AF186" s="187">
        <v>0</v>
      </c>
      <c r="AG186" s="186">
        <v>0</v>
      </c>
      <c r="AH186" s="187">
        <v>0</v>
      </c>
      <c r="AI186" s="186">
        <v>0</v>
      </c>
      <c r="AJ186" s="647">
        <v>0</v>
      </c>
    </row>
    <row r="187" spans="1:36" x14ac:dyDescent="0.2">
      <c r="A187" s="440" t="s">
        <v>109</v>
      </c>
      <c r="B187" s="642">
        <v>16</v>
      </c>
      <c r="C187" s="184">
        <v>0</v>
      </c>
      <c r="D187" s="184">
        <v>11</v>
      </c>
      <c r="E187" s="184">
        <v>1</v>
      </c>
      <c r="F187" s="184">
        <v>4</v>
      </c>
      <c r="G187" s="184">
        <v>0</v>
      </c>
      <c r="H187" s="184">
        <v>0</v>
      </c>
      <c r="I187" s="184">
        <v>0</v>
      </c>
      <c r="J187" s="184">
        <v>0</v>
      </c>
      <c r="K187" s="184">
        <v>0</v>
      </c>
      <c r="L187" s="184">
        <v>0</v>
      </c>
      <c r="M187" s="654" t="s">
        <v>24</v>
      </c>
      <c r="N187" s="670" t="s">
        <v>109</v>
      </c>
      <c r="O187" s="642">
        <v>0</v>
      </c>
      <c r="P187" s="184">
        <v>0</v>
      </c>
      <c r="Q187" s="184">
        <v>1</v>
      </c>
      <c r="R187" s="184">
        <v>0</v>
      </c>
      <c r="S187" s="184">
        <v>0</v>
      </c>
      <c r="T187" s="184">
        <v>7</v>
      </c>
      <c r="U187" s="184">
        <v>4</v>
      </c>
      <c r="V187" s="184">
        <v>3</v>
      </c>
      <c r="W187" s="184">
        <v>1</v>
      </c>
      <c r="X187" s="184">
        <v>0</v>
      </c>
      <c r="Y187" s="184">
        <v>0</v>
      </c>
      <c r="Z187" s="184">
        <v>0</v>
      </c>
      <c r="AA187" s="184">
        <v>0</v>
      </c>
      <c r="AB187" s="184">
        <v>0</v>
      </c>
      <c r="AC187" s="185">
        <v>35.6</v>
      </c>
      <c r="AD187" s="185">
        <v>43.5</v>
      </c>
      <c r="AE187" s="184">
        <v>0</v>
      </c>
      <c r="AF187" s="185">
        <v>0</v>
      </c>
      <c r="AG187" s="184">
        <v>0</v>
      </c>
      <c r="AH187" s="185">
        <v>0</v>
      </c>
      <c r="AI187" s="184">
        <v>0</v>
      </c>
      <c r="AJ187" s="643">
        <v>0</v>
      </c>
    </row>
    <row r="188" spans="1:36" x14ac:dyDescent="0.2">
      <c r="A188" s="440" t="s">
        <v>110</v>
      </c>
      <c r="B188" s="642">
        <v>8</v>
      </c>
      <c r="C188" s="184">
        <v>1</v>
      </c>
      <c r="D188" s="184">
        <v>6</v>
      </c>
      <c r="E188" s="184">
        <v>0</v>
      </c>
      <c r="F188" s="184">
        <v>1</v>
      </c>
      <c r="G188" s="184">
        <v>0</v>
      </c>
      <c r="H188" s="184">
        <v>0</v>
      </c>
      <c r="I188" s="184">
        <v>0</v>
      </c>
      <c r="J188" s="184">
        <v>0</v>
      </c>
      <c r="K188" s="184">
        <v>0</v>
      </c>
      <c r="L188" s="184">
        <v>0</v>
      </c>
      <c r="M188" s="654" t="s">
        <v>24</v>
      </c>
      <c r="N188" s="670" t="s">
        <v>110</v>
      </c>
      <c r="O188" s="642">
        <v>0</v>
      </c>
      <c r="P188" s="184">
        <v>0</v>
      </c>
      <c r="Q188" s="184">
        <v>0</v>
      </c>
      <c r="R188" s="184">
        <v>0</v>
      </c>
      <c r="S188" s="184">
        <v>0</v>
      </c>
      <c r="T188" s="184">
        <v>0</v>
      </c>
      <c r="U188" s="184">
        <v>1</v>
      </c>
      <c r="V188" s="184">
        <v>2</v>
      </c>
      <c r="W188" s="184">
        <v>4</v>
      </c>
      <c r="X188" s="184">
        <v>1</v>
      </c>
      <c r="Y188" s="184">
        <v>0</v>
      </c>
      <c r="Z188" s="184">
        <v>0</v>
      </c>
      <c r="AA188" s="184">
        <v>0</v>
      </c>
      <c r="AB188" s="184">
        <v>0</v>
      </c>
      <c r="AC188" s="185">
        <v>44.9</v>
      </c>
      <c r="AD188" s="185" t="s">
        <v>24</v>
      </c>
      <c r="AE188" s="184">
        <v>0</v>
      </c>
      <c r="AF188" s="185">
        <v>0</v>
      </c>
      <c r="AG188" s="184">
        <v>0</v>
      </c>
      <c r="AH188" s="185">
        <v>0</v>
      </c>
      <c r="AI188" s="184">
        <v>0</v>
      </c>
      <c r="AJ188" s="643">
        <v>0</v>
      </c>
    </row>
    <row r="189" spans="1:36" x14ac:dyDescent="0.2">
      <c r="A189" s="440" t="s">
        <v>111</v>
      </c>
      <c r="B189" s="642">
        <v>13</v>
      </c>
      <c r="C189" s="184">
        <v>0</v>
      </c>
      <c r="D189" s="184">
        <v>12</v>
      </c>
      <c r="E189" s="184">
        <v>0</v>
      </c>
      <c r="F189" s="184">
        <v>1</v>
      </c>
      <c r="G189" s="184">
        <v>0</v>
      </c>
      <c r="H189" s="184">
        <v>0</v>
      </c>
      <c r="I189" s="184">
        <v>0</v>
      </c>
      <c r="J189" s="184">
        <v>0</v>
      </c>
      <c r="K189" s="184">
        <v>0</v>
      </c>
      <c r="L189" s="184">
        <v>0</v>
      </c>
      <c r="M189" s="654" t="s">
        <v>24</v>
      </c>
      <c r="N189" s="670" t="s">
        <v>111</v>
      </c>
      <c r="O189" s="642">
        <v>0</v>
      </c>
      <c r="P189" s="184">
        <v>0</v>
      </c>
      <c r="Q189" s="184">
        <v>0</v>
      </c>
      <c r="R189" s="184">
        <v>0</v>
      </c>
      <c r="S189" s="184">
        <v>0</v>
      </c>
      <c r="T189" s="184">
        <v>3</v>
      </c>
      <c r="U189" s="184">
        <v>5</v>
      </c>
      <c r="V189" s="184">
        <v>2</v>
      </c>
      <c r="W189" s="184">
        <v>3</v>
      </c>
      <c r="X189" s="184">
        <v>0</v>
      </c>
      <c r="Y189" s="184">
        <v>0</v>
      </c>
      <c r="Z189" s="184">
        <v>0</v>
      </c>
      <c r="AA189" s="184">
        <v>0</v>
      </c>
      <c r="AB189" s="184">
        <v>0</v>
      </c>
      <c r="AC189" s="185">
        <v>39.1</v>
      </c>
      <c r="AD189" s="185">
        <v>45.7</v>
      </c>
      <c r="AE189" s="184">
        <v>0</v>
      </c>
      <c r="AF189" s="185">
        <v>0</v>
      </c>
      <c r="AG189" s="184">
        <v>0</v>
      </c>
      <c r="AH189" s="185">
        <v>0</v>
      </c>
      <c r="AI189" s="184">
        <v>0</v>
      </c>
      <c r="AJ189" s="643">
        <v>0</v>
      </c>
    </row>
    <row r="190" spans="1:36" x14ac:dyDescent="0.2">
      <c r="A190" s="440" t="s">
        <v>67</v>
      </c>
      <c r="B190" s="642">
        <v>15</v>
      </c>
      <c r="C190" s="184">
        <v>0</v>
      </c>
      <c r="D190" s="184">
        <v>14</v>
      </c>
      <c r="E190" s="184">
        <v>0</v>
      </c>
      <c r="F190" s="184">
        <v>1</v>
      </c>
      <c r="G190" s="184">
        <v>0</v>
      </c>
      <c r="H190" s="184">
        <v>0</v>
      </c>
      <c r="I190" s="184">
        <v>0</v>
      </c>
      <c r="J190" s="184">
        <v>0</v>
      </c>
      <c r="K190" s="184">
        <v>0</v>
      </c>
      <c r="L190" s="184">
        <v>0</v>
      </c>
      <c r="M190" s="654" t="s">
        <v>24</v>
      </c>
      <c r="N190" s="670" t="s">
        <v>67</v>
      </c>
      <c r="O190" s="642">
        <v>0</v>
      </c>
      <c r="P190" s="184">
        <v>0</v>
      </c>
      <c r="Q190" s="184">
        <v>0</v>
      </c>
      <c r="R190" s="184">
        <v>0</v>
      </c>
      <c r="S190" s="184">
        <v>0</v>
      </c>
      <c r="T190" s="184">
        <v>2</v>
      </c>
      <c r="U190" s="184">
        <v>2</v>
      </c>
      <c r="V190" s="184">
        <v>2</v>
      </c>
      <c r="W190" s="184">
        <v>6</v>
      </c>
      <c r="X190" s="184">
        <v>2</v>
      </c>
      <c r="Y190" s="184">
        <v>1</v>
      </c>
      <c r="Z190" s="184">
        <v>0</v>
      </c>
      <c r="AA190" s="184">
        <v>0</v>
      </c>
      <c r="AB190" s="184">
        <v>0</v>
      </c>
      <c r="AC190" s="185">
        <v>45.7</v>
      </c>
      <c r="AD190" s="185">
        <v>51.9</v>
      </c>
      <c r="AE190" s="184">
        <v>1</v>
      </c>
      <c r="AF190" s="185">
        <v>6.666666666666667</v>
      </c>
      <c r="AG190" s="184">
        <v>0</v>
      </c>
      <c r="AH190" s="185">
        <v>0</v>
      </c>
      <c r="AI190" s="184">
        <v>0</v>
      </c>
      <c r="AJ190" s="643">
        <v>0</v>
      </c>
    </row>
    <row r="191" spans="1:36" x14ac:dyDescent="0.2">
      <c r="A191" s="440" t="s">
        <v>112</v>
      </c>
      <c r="B191" s="642">
        <v>10</v>
      </c>
      <c r="C191" s="184">
        <v>0</v>
      </c>
      <c r="D191" s="184">
        <v>9</v>
      </c>
      <c r="E191" s="184">
        <v>0</v>
      </c>
      <c r="F191" s="184">
        <v>1</v>
      </c>
      <c r="G191" s="184">
        <v>0</v>
      </c>
      <c r="H191" s="184">
        <v>0</v>
      </c>
      <c r="I191" s="184">
        <v>0</v>
      </c>
      <c r="J191" s="184">
        <v>0</v>
      </c>
      <c r="K191" s="184">
        <v>0</v>
      </c>
      <c r="L191" s="184">
        <v>0</v>
      </c>
      <c r="M191" s="654" t="s">
        <v>24</v>
      </c>
      <c r="N191" s="670" t="s">
        <v>112</v>
      </c>
      <c r="O191" s="642">
        <v>0</v>
      </c>
      <c r="P191" s="184">
        <v>0</v>
      </c>
      <c r="Q191" s="184">
        <v>0</v>
      </c>
      <c r="R191" s="184">
        <v>1</v>
      </c>
      <c r="S191" s="184">
        <v>0</v>
      </c>
      <c r="T191" s="184">
        <v>2</v>
      </c>
      <c r="U191" s="184">
        <v>1</v>
      </c>
      <c r="V191" s="184">
        <v>5</v>
      </c>
      <c r="W191" s="184">
        <v>0</v>
      </c>
      <c r="X191" s="184">
        <v>1</v>
      </c>
      <c r="Y191" s="184">
        <v>0</v>
      </c>
      <c r="Z191" s="184">
        <v>0</v>
      </c>
      <c r="AA191" s="184">
        <v>0</v>
      </c>
      <c r="AB191" s="184">
        <v>0</v>
      </c>
      <c r="AC191" s="185">
        <v>38.799999999999997</v>
      </c>
      <c r="AD191" s="185" t="s">
        <v>24</v>
      </c>
      <c r="AE191" s="184">
        <v>0</v>
      </c>
      <c r="AF191" s="185">
        <v>0</v>
      </c>
      <c r="AG191" s="184">
        <v>0</v>
      </c>
      <c r="AH191" s="185">
        <v>0</v>
      </c>
      <c r="AI191" s="184">
        <v>0</v>
      </c>
      <c r="AJ191" s="643">
        <v>0</v>
      </c>
    </row>
    <row r="192" spans="1:36" x14ac:dyDescent="0.2">
      <c r="A192" s="440" t="s">
        <v>113</v>
      </c>
      <c r="B192" s="642">
        <v>8</v>
      </c>
      <c r="C192" s="184">
        <v>1</v>
      </c>
      <c r="D192" s="184">
        <v>7</v>
      </c>
      <c r="E192" s="184">
        <v>0</v>
      </c>
      <c r="F192" s="184">
        <v>0</v>
      </c>
      <c r="G192" s="184">
        <v>0</v>
      </c>
      <c r="H192" s="184">
        <v>0</v>
      </c>
      <c r="I192" s="184">
        <v>0</v>
      </c>
      <c r="J192" s="184">
        <v>0</v>
      </c>
      <c r="K192" s="184">
        <v>0</v>
      </c>
      <c r="L192" s="184">
        <v>0</v>
      </c>
      <c r="M192" s="654" t="s">
        <v>24</v>
      </c>
      <c r="N192" s="670" t="s">
        <v>113</v>
      </c>
      <c r="O192" s="642">
        <v>0</v>
      </c>
      <c r="P192" s="184">
        <v>1</v>
      </c>
      <c r="Q192" s="184">
        <v>0</v>
      </c>
      <c r="R192" s="184">
        <v>0</v>
      </c>
      <c r="S192" s="184">
        <v>0</v>
      </c>
      <c r="T192" s="184">
        <v>1</v>
      </c>
      <c r="U192" s="184">
        <v>0</v>
      </c>
      <c r="V192" s="184">
        <v>1</v>
      </c>
      <c r="W192" s="184">
        <v>2</v>
      </c>
      <c r="X192" s="184">
        <v>3</v>
      </c>
      <c r="Y192" s="184">
        <v>0</v>
      </c>
      <c r="Z192" s="184">
        <v>0</v>
      </c>
      <c r="AA192" s="184">
        <v>0</v>
      </c>
      <c r="AB192" s="184">
        <v>0</v>
      </c>
      <c r="AC192" s="185">
        <v>42.4</v>
      </c>
      <c r="AD192" s="185" t="s">
        <v>24</v>
      </c>
      <c r="AE192" s="184">
        <v>0</v>
      </c>
      <c r="AF192" s="185">
        <v>0</v>
      </c>
      <c r="AG192" s="184">
        <v>0</v>
      </c>
      <c r="AH192" s="185">
        <v>0</v>
      </c>
      <c r="AI192" s="184">
        <v>0</v>
      </c>
      <c r="AJ192" s="643">
        <v>0</v>
      </c>
    </row>
    <row r="193" spans="1:36" x14ac:dyDescent="0.2">
      <c r="A193" s="440" t="s">
        <v>114</v>
      </c>
      <c r="B193" s="642">
        <v>7</v>
      </c>
      <c r="C193" s="184">
        <v>0</v>
      </c>
      <c r="D193" s="184">
        <v>7</v>
      </c>
      <c r="E193" s="184">
        <v>0</v>
      </c>
      <c r="F193" s="184">
        <v>0</v>
      </c>
      <c r="G193" s="184">
        <v>0</v>
      </c>
      <c r="H193" s="184">
        <v>0</v>
      </c>
      <c r="I193" s="184">
        <v>0</v>
      </c>
      <c r="J193" s="184">
        <v>0</v>
      </c>
      <c r="K193" s="184">
        <v>0</v>
      </c>
      <c r="L193" s="184">
        <v>0</v>
      </c>
      <c r="M193" s="654" t="s">
        <v>24</v>
      </c>
      <c r="N193" s="670" t="s">
        <v>114</v>
      </c>
      <c r="O193" s="642">
        <v>0</v>
      </c>
      <c r="P193" s="184">
        <v>0</v>
      </c>
      <c r="Q193" s="184">
        <v>0</v>
      </c>
      <c r="R193" s="184">
        <v>0</v>
      </c>
      <c r="S193" s="184">
        <v>0</v>
      </c>
      <c r="T193" s="184">
        <v>0</v>
      </c>
      <c r="U193" s="184">
        <v>4</v>
      </c>
      <c r="V193" s="184">
        <v>3</v>
      </c>
      <c r="W193" s="184">
        <v>0</v>
      </c>
      <c r="X193" s="184">
        <v>0</v>
      </c>
      <c r="Y193" s="184">
        <v>0</v>
      </c>
      <c r="Z193" s="184">
        <v>0</v>
      </c>
      <c r="AA193" s="184">
        <v>0</v>
      </c>
      <c r="AB193" s="184">
        <v>0</v>
      </c>
      <c r="AC193" s="185">
        <v>39</v>
      </c>
      <c r="AD193" s="185" t="s">
        <v>24</v>
      </c>
      <c r="AE193" s="184">
        <v>0</v>
      </c>
      <c r="AF193" s="185">
        <v>0</v>
      </c>
      <c r="AG193" s="184">
        <v>0</v>
      </c>
      <c r="AH193" s="185">
        <v>0</v>
      </c>
      <c r="AI193" s="184">
        <v>0</v>
      </c>
      <c r="AJ193" s="643">
        <v>0</v>
      </c>
    </row>
    <row r="194" spans="1:36" x14ac:dyDescent="0.2">
      <c r="A194" s="440" t="s">
        <v>69</v>
      </c>
      <c r="B194" s="646">
        <v>18</v>
      </c>
      <c r="C194" s="186">
        <v>1</v>
      </c>
      <c r="D194" s="186">
        <v>17</v>
      </c>
      <c r="E194" s="186">
        <v>0</v>
      </c>
      <c r="F194" s="186">
        <v>0</v>
      </c>
      <c r="G194" s="186">
        <v>0</v>
      </c>
      <c r="H194" s="186">
        <v>0</v>
      </c>
      <c r="I194" s="186">
        <v>0</v>
      </c>
      <c r="J194" s="186">
        <v>0</v>
      </c>
      <c r="K194" s="186">
        <v>0</v>
      </c>
      <c r="L194" s="186">
        <v>0</v>
      </c>
      <c r="M194" s="656" t="s">
        <v>24</v>
      </c>
      <c r="N194" s="670" t="s">
        <v>69</v>
      </c>
      <c r="O194" s="646">
        <v>0</v>
      </c>
      <c r="P194" s="186">
        <v>1</v>
      </c>
      <c r="Q194" s="186">
        <v>0</v>
      </c>
      <c r="R194" s="186">
        <v>0</v>
      </c>
      <c r="S194" s="186">
        <v>1</v>
      </c>
      <c r="T194" s="186">
        <v>4</v>
      </c>
      <c r="U194" s="186">
        <v>3</v>
      </c>
      <c r="V194" s="186">
        <v>4</v>
      </c>
      <c r="W194" s="186">
        <v>3</v>
      </c>
      <c r="X194" s="186">
        <v>2</v>
      </c>
      <c r="Y194" s="186">
        <v>0</v>
      </c>
      <c r="Z194" s="186">
        <v>0</v>
      </c>
      <c r="AA194" s="186">
        <v>0</v>
      </c>
      <c r="AB194" s="186">
        <v>0</v>
      </c>
      <c r="AC194" s="187">
        <v>38.700000000000003</v>
      </c>
      <c r="AD194" s="187">
        <v>46.3</v>
      </c>
      <c r="AE194" s="186">
        <v>0</v>
      </c>
      <c r="AF194" s="187">
        <v>0</v>
      </c>
      <c r="AG194" s="186">
        <v>0</v>
      </c>
      <c r="AH194" s="187">
        <v>0</v>
      </c>
      <c r="AI194" s="186">
        <v>0</v>
      </c>
      <c r="AJ194" s="647">
        <v>0</v>
      </c>
    </row>
    <row r="195" spans="1:36" x14ac:dyDescent="0.2">
      <c r="A195" s="440" t="s">
        <v>115</v>
      </c>
      <c r="B195" s="642">
        <v>8</v>
      </c>
      <c r="C195" s="184">
        <v>0</v>
      </c>
      <c r="D195" s="184">
        <v>8</v>
      </c>
      <c r="E195" s="184">
        <v>0</v>
      </c>
      <c r="F195" s="184">
        <v>0</v>
      </c>
      <c r="G195" s="184">
        <v>0</v>
      </c>
      <c r="H195" s="184">
        <v>0</v>
      </c>
      <c r="I195" s="184">
        <v>0</v>
      </c>
      <c r="J195" s="184">
        <v>0</v>
      </c>
      <c r="K195" s="184">
        <v>0</v>
      </c>
      <c r="L195" s="184">
        <v>0</v>
      </c>
      <c r="M195" s="654" t="s">
        <v>24</v>
      </c>
      <c r="N195" s="670" t="s">
        <v>115</v>
      </c>
      <c r="O195" s="642">
        <v>0</v>
      </c>
      <c r="P195" s="184">
        <v>0</v>
      </c>
      <c r="Q195" s="184">
        <v>0</v>
      </c>
      <c r="R195" s="184">
        <v>0</v>
      </c>
      <c r="S195" s="184">
        <v>1</v>
      </c>
      <c r="T195" s="184">
        <v>2</v>
      </c>
      <c r="U195" s="184">
        <v>3</v>
      </c>
      <c r="V195" s="184">
        <v>1</v>
      </c>
      <c r="W195" s="184">
        <v>1</v>
      </c>
      <c r="X195" s="184">
        <v>0</v>
      </c>
      <c r="Y195" s="184">
        <v>0</v>
      </c>
      <c r="Z195" s="184">
        <v>0</v>
      </c>
      <c r="AA195" s="184">
        <v>0</v>
      </c>
      <c r="AB195" s="184">
        <v>0</v>
      </c>
      <c r="AC195" s="185">
        <v>36.1</v>
      </c>
      <c r="AD195" s="185" t="s">
        <v>24</v>
      </c>
      <c r="AE195" s="184">
        <v>0</v>
      </c>
      <c r="AF195" s="185">
        <v>0</v>
      </c>
      <c r="AG195" s="184">
        <v>0</v>
      </c>
      <c r="AH195" s="185">
        <v>0</v>
      </c>
      <c r="AI195" s="184">
        <v>0</v>
      </c>
      <c r="AJ195" s="643">
        <v>0</v>
      </c>
    </row>
    <row r="196" spans="1:36" x14ac:dyDescent="0.2">
      <c r="A196" s="440" t="s">
        <v>116</v>
      </c>
      <c r="B196" s="642">
        <v>9</v>
      </c>
      <c r="C196" s="184">
        <v>0</v>
      </c>
      <c r="D196" s="184">
        <v>6</v>
      </c>
      <c r="E196" s="184">
        <v>0</v>
      </c>
      <c r="F196" s="184">
        <v>3</v>
      </c>
      <c r="G196" s="184">
        <v>0</v>
      </c>
      <c r="H196" s="184">
        <v>0</v>
      </c>
      <c r="I196" s="184">
        <v>0</v>
      </c>
      <c r="J196" s="184">
        <v>0</v>
      </c>
      <c r="K196" s="184">
        <v>0</v>
      </c>
      <c r="L196" s="184">
        <v>0</v>
      </c>
      <c r="M196" s="654" t="s">
        <v>24</v>
      </c>
      <c r="N196" s="670" t="s">
        <v>116</v>
      </c>
      <c r="O196" s="642">
        <v>0</v>
      </c>
      <c r="P196" s="184">
        <v>0</v>
      </c>
      <c r="Q196" s="184">
        <v>0</v>
      </c>
      <c r="R196" s="184">
        <v>0</v>
      </c>
      <c r="S196" s="184">
        <v>0</v>
      </c>
      <c r="T196" s="184">
        <v>0</v>
      </c>
      <c r="U196" s="184">
        <v>1</v>
      </c>
      <c r="V196" s="184">
        <v>5</v>
      </c>
      <c r="W196" s="184">
        <v>1</v>
      </c>
      <c r="X196" s="184">
        <v>2</v>
      </c>
      <c r="Y196" s="184">
        <v>0</v>
      </c>
      <c r="Z196" s="184">
        <v>0</v>
      </c>
      <c r="AA196" s="184">
        <v>0</v>
      </c>
      <c r="AB196" s="184">
        <v>0</v>
      </c>
      <c r="AC196" s="185">
        <v>45.1</v>
      </c>
      <c r="AD196" s="185" t="s">
        <v>24</v>
      </c>
      <c r="AE196" s="184">
        <v>0</v>
      </c>
      <c r="AF196" s="185">
        <v>0</v>
      </c>
      <c r="AG196" s="184">
        <v>0</v>
      </c>
      <c r="AH196" s="185">
        <v>0</v>
      </c>
      <c r="AI196" s="184">
        <v>0</v>
      </c>
      <c r="AJ196" s="643">
        <v>0</v>
      </c>
    </row>
    <row r="197" spans="1:36" ht="13.5" thickBot="1" x14ac:dyDescent="0.25">
      <c r="A197" s="440" t="s">
        <v>117</v>
      </c>
      <c r="B197" s="644">
        <v>9</v>
      </c>
      <c r="C197" s="188">
        <v>0</v>
      </c>
      <c r="D197" s="188">
        <v>8</v>
      </c>
      <c r="E197" s="188">
        <v>0</v>
      </c>
      <c r="F197" s="188">
        <v>1</v>
      </c>
      <c r="G197" s="188">
        <v>0</v>
      </c>
      <c r="H197" s="188">
        <v>0</v>
      </c>
      <c r="I197" s="188">
        <v>0</v>
      </c>
      <c r="J197" s="188">
        <v>0</v>
      </c>
      <c r="K197" s="188">
        <v>0</v>
      </c>
      <c r="L197" s="188">
        <v>0</v>
      </c>
      <c r="M197" s="655" t="s">
        <v>24</v>
      </c>
      <c r="N197" s="670" t="s">
        <v>117</v>
      </c>
      <c r="O197" s="644">
        <v>0</v>
      </c>
      <c r="P197" s="188">
        <v>0</v>
      </c>
      <c r="Q197" s="188">
        <v>0</v>
      </c>
      <c r="R197" s="188">
        <v>0</v>
      </c>
      <c r="S197" s="188">
        <v>0</v>
      </c>
      <c r="T197" s="188">
        <v>0</v>
      </c>
      <c r="U197" s="188">
        <v>3</v>
      </c>
      <c r="V197" s="188">
        <v>3</v>
      </c>
      <c r="W197" s="188">
        <v>3</v>
      </c>
      <c r="X197" s="188">
        <v>0</v>
      </c>
      <c r="Y197" s="188">
        <v>0</v>
      </c>
      <c r="Z197" s="188">
        <v>0</v>
      </c>
      <c r="AA197" s="188">
        <v>0</v>
      </c>
      <c r="AB197" s="188">
        <v>0</v>
      </c>
      <c r="AC197" s="189">
        <v>41.8</v>
      </c>
      <c r="AD197" s="189" t="s">
        <v>24</v>
      </c>
      <c r="AE197" s="188">
        <v>0</v>
      </c>
      <c r="AF197" s="189">
        <v>0</v>
      </c>
      <c r="AG197" s="188">
        <v>0</v>
      </c>
      <c r="AH197" s="189">
        <v>0</v>
      </c>
      <c r="AI197" s="188">
        <v>0</v>
      </c>
      <c r="AJ197" s="645">
        <v>0</v>
      </c>
    </row>
    <row r="198" spans="1:36" x14ac:dyDescent="0.2">
      <c r="A198" s="440" t="s">
        <v>71</v>
      </c>
      <c r="B198" s="642">
        <v>8</v>
      </c>
      <c r="C198" s="184">
        <v>1</v>
      </c>
      <c r="D198" s="184">
        <v>7</v>
      </c>
      <c r="E198" s="184">
        <v>0</v>
      </c>
      <c r="F198" s="184">
        <v>0</v>
      </c>
      <c r="G198" s="184">
        <v>0</v>
      </c>
      <c r="H198" s="184">
        <v>0</v>
      </c>
      <c r="I198" s="184">
        <v>0</v>
      </c>
      <c r="J198" s="184">
        <v>0</v>
      </c>
      <c r="K198" s="184">
        <v>0</v>
      </c>
      <c r="L198" s="184">
        <v>0</v>
      </c>
      <c r="M198" s="654" t="s">
        <v>24</v>
      </c>
      <c r="N198" s="670" t="s">
        <v>71</v>
      </c>
      <c r="O198" s="642">
        <v>0</v>
      </c>
      <c r="P198" s="184">
        <v>0</v>
      </c>
      <c r="Q198" s="184">
        <v>0</v>
      </c>
      <c r="R198" s="184">
        <v>0</v>
      </c>
      <c r="S198" s="184">
        <v>0</v>
      </c>
      <c r="T198" s="184">
        <v>1</v>
      </c>
      <c r="U198" s="184">
        <v>2</v>
      </c>
      <c r="V198" s="184">
        <v>2</v>
      </c>
      <c r="W198" s="184">
        <v>1</v>
      </c>
      <c r="X198" s="184">
        <v>1</v>
      </c>
      <c r="Y198" s="184">
        <v>1</v>
      </c>
      <c r="Z198" s="184">
        <v>0</v>
      </c>
      <c r="AA198" s="184">
        <v>0</v>
      </c>
      <c r="AB198" s="184">
        <v>0</v>
      </c>
      <c r="AC198" s="185">
        <v>45.2</v>
      </c>
      <c r="AD198" s="185" t="s">
        <v>24</v>
      </c>
      <c r="AE198" s="184">
        <v>1</v>
      </c>
      <c r="AF198" s="185">
        <v>12.5</v>
      </c>
      <c r="AG198" s="184">
        <v>0</v>
      </c>
      <c r="AH198" s="185">
        <v>0</v>
      </c>
      <c r="AI198" s="184">
        <v>0</v>
      </c>
      <c r="AJ198" s="643">
        <v>0</v>
      </c>
    </row>
    <row r="199" spans="1:36" x14ac:dyDescent="0.2">
      <c r="A199" s="440" t="s">
        <v>118</v>
      </c>
      <c r="B199" s="642">
        <v>12</v>
      </c>
      <c r="C199" s="184">
        <v>0</v>
      </c>
      <c r="D199" s="184">
        <v>10</v>
      </c>
      <c r="E199" s="184">
        <v>0</v>
      </c>
      <c r="F199" s="184">
        <v>2</v>
      </c>
      <c r="G199" s="184">
        <v>0</v>
      </c>
      <c r="H199" s="184">
        <v>0</v>
      </c>
      <c r="I199" s="184">
        <v>0</v>
      </c>
      <c r="J199" s="184">
        <v>0</v>
      </c>
      <c r="K199" s="184">
        <v>0</v>
      </c>
      <c r="L199" s="184">
        <v>0</v>
      </c>
      <c r="M199" s="654" t="s">
        <v>24</v>
      </c>
      <c r="N199" s="670" t="s">
        <v>118</v>
      </c>
      <c r="O199" s="642">
        <v>0</v>
      </c>
      <c r="P199" s="184">
        <v>0</v>
      </c>
      <c r="Q199" s="184">
        <v>0</v>
      </c>
      <c r="R199" s="184">
        <v>0</v>
      </c>
      <c r="S199" s="184">
        <v>2</v>
      </c>
      <c r="T199" s="184">
        <v>1</v>
      </c>
      <c r="U199" s="184">
        <v>2</v>
      </c>
      <c r="V199" s="184">
        <v>4</v>
      </c>
      <c r="W199" s="184">
        <v>2</v>
      </c>
      <c r="X199" s="184">
        <v>1</v>
      </c>
      <c r="Y199" s="184">
        <v>0</v>
      </c>
      <c r="Z199" s="184">
        <v>0</v>
      </c>
      <c r="AA199" s="184">
        <v>0</v>
      </c>
      <c r="AB199" s="184">
        <v>0</v>
      </c>
      <c r="AC199" s="185">
        <v>40.1</v>
      </c>
      <c r="AD199" s="185">
        <v>47</v>
      </c>
      <c r="AE199" s="184">
        <v>0</v>
      </c>
      <c r="AF199" s="185">
        <v>0</v>
      </c>
      <c r="AG199" s="184">
        <v>0</v>
      </c>
      <c r="AH199" s="185">
        <v>0</v>
      </c>
      <c r="AI199" s="184">
        <v>0</v>
      </c>
      <c r="AJ199" s="643">
        <v>0</v>
      </c>
    </row>
    <row r="200" spans="1:36" x14ac:dyDescent="0.2">
      <c r="A200" s="440" t="s">
        <v>119</v>
      </c>
      <c r="B200" s="642">
        <v>10</v>
      </c>
      <c r="C200" s="184">
        <v>0</v>
      </c>
      <c r="D200" s="184">
        <v>9</v>
      </c>
      <c r="E200" s="184">
        <v>0</v>
      </c>
      <c r="F200" s="184">
        <v>1</v>
      </c>
      <c r="G200" s="184">
        <v>0</v>
      </c>
      <c r="H200" s="184">
        <v>0</v>
      </c>
      <c r="I200" s="184">
        <v>0</v>
      </c>
      <c r="J200" s="184">
        <v>0</v>
      </c>
      <c r="K200" s="184">
        <v>0</v>
      </c>
      <c r="L200" s="184">
        <v>0</v>
      </c>
      <c r="M200" s="654" t="s">
        <v>24</v>
      </c>
      <c r="N200" s="670" t="s">
        <v>119</v>
      </c>
      <c r="O200" s="642">
        <v>0</v>
      </c>
      <c r="P200" s="184">
        <v>0</v>
      </c>
      <c r="Q200" s="184">
        <v>1</v>
      </c>
      <c r="R200" s="184">
        <v>0</v>
      </c>
      <c r="S200" s="184">
        <v>0</v>
      </c>
      <c r="T200" s="184">
        <v>0</v>
      </c>
      <c r="U200" s="184">
        <v>2</v>
      </c>
      <c r="V200" s="184">
        <v>5</v>
      </c>
      <c r="W200" s="184">
        <v>1</v>
      </c>
      <c r="X200" s="184">
        <v>1</v>
      </c>
      <c r="Y200" s="184">
        <v>0</v>
      </c>
      <c r="Z200" s="184">
        <v>0</v>
      </c>
      <c r="AA200" s="184">
        <v>0</v>
      </c>
      <c r="AB200" s="184">
        <v>0</v>
      </c>
      <c r="AC200" s="185">
        <v>40.9</v>
      </c>
      <c r="AD200" s="185" t="s">
        <v>24</v>
      </c>
      <c r="AE200" s="184">
        <v>0</v>
      </c>
      <c r="AF200" s="185">
        <v>0</v>
      </c>
      <c r="AG200" s="184">
        <v>0</v>
      </c>
      <c r="AH200" s="185">
        <v>0</v>
      </c>
      <c r="AI200" s="184">
        <v>0</v>
      </c>
      <c r="AJ200" s="643">
        <v>0</v>
      </c>
    </row>
    <row r="201" spans="1:36" x14ac:dyDescent="0.2">
      <c r="A201" s="440" t="s">
        <v>120</v>
      </c>
      <c r="B201" s="642">
        <v>6</v>
      </c>
      <c r="C201" s="184">
        <v>0</v>
      </c>
      <c r="D201" s="184">
        <v>6</v>
      </c>
      <c r="E201" s="184">
        <v>0</v>
      </c>
      <c r="F201" s="184">
        <v>0</v>
      </c>
      <c r="G201" s="184">
        <v>0</v>
      </c>
      <c r="H201" s="184">
        <v>0</v>
      </c>
      <c r="I201" s="184">
        <v>0</v>
      </c>
      <c r="J201" s="184">
        <v>0</v>
      </c>
      <c r="K201" s="184">
        <v>0</v>
      </c>
      <c r="L201" s="184">
        <v>0</v>
      </c>
      <c r="M201" s="654" t="s">
        <v>24</v>
      </c>
      <c r="N201" s="670" t="s">
        <v>120</v>
      </c>
      <c r="O201" s="642">
        <v>0</v>
      </c>
      <c r="P201" s="184">
        <v>0</v>
      </c>
      <c r="Q201" s="184">
        <v>0</v>
      </c>
      <c r="R201" s="184">
        <v>0</v>
      </c>
      <c r="S201" s="184">
        <v>0</v>
      </c>
      <c r="T201" s="184">
        <v>0</v>
      </c>
      <c r="U201" s="184">
        <v>4</v>
      </c>
      <c r="V201" s="184">
        <v>1</v>
      </c>
      <c r="W201" s="184">
        <v>0</v>
      </c>
      <c r="X201" s="184">
        <v>1</v>
      </c>
      <c r="Y201" s="184">
        <v>0</v>
      </c>
      <c r="Z201" s="184">
        <v>0</v>
      </c>
      <c r="AA201" s="184">
        <v>0</v>
      </c>
      <c r="AB201" s="184">
        <v>0</v>
      </c>
      <c r="AC201" s="185">
        <v>40.5</v>
      </c>
      <c r="AD201" s="185" t="s">
        <v>24</v>
      </c>
      <c r="AE201" s="184">
        <v>0</v>
      </c>
      <c r="AF201" s="185">
        <v>0</v>
      </c>
      <c r="AG201" s="184">
        <v>0</v>
      </c>
      <c r="AH201" s="185">
        <v>0</v>
      </c>
      <c r="AI201" s="184">
        <v>0</v>
      </c>
      <c r="AJ201" s="643">
        <v>0</v>
      </c>
    </row>
    <row r="202" spans="1:36" x14ac:dyDescent="0.2">
      <c r="A202" s="440" t="s">
        <v>72</v>
      </c>
      <c r="B202" s="642">
        <v>2</v>
      </c>
      <c r="C202" s="184">
        <v>0</v>
      </c>
      <c r="D202" s="184">
        <v>2</v>
      </c>
      <c r="E202" s="184">
        <v>0</v>
      </c>
      <c r="F202" s="184">
        <v>0</v>
      </c>
      <c r="G202" s="184">
        <v>0</v>
      </c>
      <c r="H202" s="184">
        <v>0</v>
      </c>
      <c r="I202" s="184">
        <v>0</v>
      </c>
      <c r="J202" s="184">
        <v>0</v>
      </c>
      <c r="K202" s="184">
        <v>0</v>
      </c>
      <c r="L202" s="184">
        <v>0</v>
      </c>
      <c r="M202" s="654" t="s">
        <v>24</v>
      </c>
      <c r="N202" s="670" t="s">
        <v>72</v>
      </c>
      <c r="O202" s="642">
        <v>0</v>
      </c>
      <c r="P202" s="184">
        <v>0</v>
      </c>
      <c r="Q202" s="184">
        <v>0</v>
      </c>
      <c r="R202" s="184">
        <v>0</v>
      </c>
      <c r="S202" s="184">
        <v>0</v>
      </c>
      <c r="T202" s="184">
        <v>0</v>
      </c>
      <c r="U202" s="184">
        <v>0</v>
      </c>
      <c r="V202" s="184">
        <v>2</v>
      </c>
      <c r="W202" s="184">
        <v>0</v>
      </c>
      <c r="X202" s="184">
        <v>0</v>
      </c>
      <c r="Y202" s="184">
        <v>0</v>
      </c>
      <c r="Z202" s="184">
        <v>0</v>
      </c>
      <c r="AA202" s="184">
        <v>0</v>
      </c>
      <c r="AB202" s="184">
        <v>0</v>
      </c>
      <c r="AC202" s="185">
        <v>41.8</v>
      </c>
      <c r="AD202" s="185" t="s">
        <v>24</v>
      </c>
      <c r="AE202" s="184">
        <v>0</v>
      </c>
      <c r="AF202" s="185">
        <v>0</v>
      </c>
      <c r="AG202" s="184">
        <v>0</v>
      </c>
      <c r="AH202" s="185">
        <v>0</v>
      </c>
      <c r="AI202" s="184">
        <v>0</v>
      </c>
      <c r="AJ202" s="643">
        <v>0</v>
      </c>
    </row>
    <row r="203" spans="1:36" x14ac:dyDescent="0.2">
      <c r="A203" s="440" t="s">
        <v>121</v>
      </c>
      <c r="B203" s="642">
        <v>6</v>
      </c>
      <c r="C203" s="184">
        <v>0</v>
      </c>
      <c r="D203" s="184">
        <v>6</v>
      </c>
      <c r="E203" s="184">
        <v>0</v>
      </c>
      <c r="F203" s="184">
        <v>0</v>
      </c>
      <c r="G203" s="184">
        <v>0</v>
      </c>
      <c r="H203" s="184">
        <v>0</v>
      </c>
      <c r="I203" s="184">
        <v>0</v>
      </c>
      <c r="J203" s="184">
        <v>0</v>
      </c>
      <c r="K203" s="184">
        <v>0</v>
      </c>
      <c r="L203" s="184">
        <v>0</v>
      </c>
      <c r="M203" s="654" t="s">
        <v>24</v>
      </c>
      <c r="N203" s="670" t="s">
        <v>121</v>
      </c>
      <c r="O203" s="642">
        <v>0</v>
      </c>
      <c r="P203" s="184">
        <v>0</v>
      </c>
      <c r="Q203" s="184">
        <v>0</v>
      </c>
      <c r="R203" s="184">
        <v>0</v>
      </c>
      <c r="S203" s="184">
        <v>0</v>
      </c>
      <c r="T203" s="184">
        <v>1</v>
      </c>
      <c r="U203" s="184">
        <v>3</v>
      </c>
      <c r="V203" s="184">
        <v>0</v>
      </c>
      <c r="W203" s="184">
        <v>1</v>
      </c>
      <c r="X203" s="184">
        <v>1</v>
      </c>
      <c r="Y203" s="184">
        <v>0</v>
      </c>
      <c r="Z203" s="184">
        <v>0</v>
      </c>
      <c r="AA203" s="184">
        <v>0</v>
      </c>
      <c r="AB203" s="184">
        <v>0</v>
      </c>
      <c r="AC203" s="185">
        <v>40.799999999999997</v>
      </c>
      <c r="AD203" s="185" t="s">
        <v>24</v>
      </c>
      <c r="AE203" s="184">
        <v>0</v>
      </c>
      <c r="AF203" s="185">
        <v>0</v>
      </c>
      <c r="AG203" s="184">
        <v>0</v>
      </c>
      <c r="AH203" s="185">
        <v>0</v>
      </c>
      <c r="AI203" s="184">
        <v>0</v>
      </c>
      <c r="AJ203" s="643">
        <v>0</v>
      </c>
    </row>
    <row r="204" spans="1:36" x14ac:dyDescent="0.2">
      <c r="A204" s="440" t="s">
        <v>122</v>
      </c>
      <c r="B204" s="642">
        <v>2</v>
      </c>
      <c r="C204" s="184">
        <v>0</v>
      </c>
      <c r="D204" s="184">
        <v>2</v>
      </c>
      <c r="E204" s="184">
        <v>0</v>
      </c>
      <c r="F204" s="184">
        <v>0</v>
      </c>
      <c r="G204" s="184">
        <v>0</v>
      </c>
      <c r="H204" s="184">
        <v>0</v>
      </c>
      <c r="I204" s="184">
        <v>0</v>
      </c>
      <c r="J204" s="184">
        <v>0</v>
      </c>
      <c r="K204" s="184">
        <v>0</v>
      </c>
      <c r="L204" s="184">
        <v>0</v>
      </c>
      <c r="M204" s="654" t="s">
        <v>24</v>
      </c>
      <c r="N204" s="670" t="s">
        <v>122</v>
      </c>
      <c r="O204" s="642">
        <v>0</v>
      </c>
      <c r="P204" s="184">
        <v>0</v>
      </c>
      <c r="Q204" s="184">
        <v>0</v>
      </c>
      <c r="R204" s="184">
        <v>0</v>
      </c>
      <c r="S204" s="184">
        <v>0</v>
      </c>
      <c r="T204" s="184">
        <v>0</v>
      </c>
      <c r="U204" s="184">
        <v>0</v>
      </c>
      <c r="V204" s="184">
        <v>1</v>
      </c>
      <c r="W204" s="184">
        <v>1</v>
      </c>
      <c r="X204" s="184">
        <v>0</v>
      </c>
      <c r="Y204" s="184">
        <v>0</v>
      </c>
      <c r="Z204" s="184">
        <v>0</v>
      </c>
      <c r="AA204" s="184">
        <v>0</v>
      </c>
      <c r="AB204" s="184">
        <v>0</v>
      </c>
      <c r="AC204" s="185">
        <v>44.6</v>
      </c>
      <c r="AD204" s="185" t="s">
        <v>24</v>
      </c>
      <c r="AE204" s="184">
        <v>0</v>
      </c>
      <c r="AF204" s="185">
        <v>0</v>
      </c>
      <c r="AG204" s="184">
        <v>0</v>
      </c>
      <c r="AH204" s="185">
        <v>0</v>
      </c>
      <c r="AI204" s="184">
        <v>0</v>
      </c>
      <c r="AJ204" s="643">
        <v>0</v>
      </c>
    </row>
    <row r="205" spans="1:36" x14ac:dyDescent="0.2">
      <c r="A205" s="440" t="s">
        <v>123</v>
      </c>
      <c r="B205" s="642">
        <v>2</v>
      </c>
      <c r="C205" s="184">
        <v>0</v>
      </c>
      <c r="D205" s="184">
        <v>2</v>
      </c>
      <c r="E205" s="184">
        <v>0</v>
      </c>
      <c r="F205" s="184">
        <v>0</v>
      </c>
      <c r="G205" s="184">
        <v>0</v>
      </c>
      <c r="H205" s="184">
        <v>0</v>
      </c>
      <c r="I205" s="184">
        <v>0</v>
      </c>
      <c r="J205" s="184">
        <v>0</v>
      </c>
      <c r="K205" s="184">
        <v>0</v>
      </c>
      <c r="L205" s="184">
        <v>0</v>
      </c>
      <c r="M205" s="654" t="s">
        <v>24</v>
      </c>
      <c r="N205" s="670" t="s">
        <v>123</v>
      </c>
      <c r="O205" s="642">
        <v>0</v>
      </c>
      <c r="P205" s="184">
        <v>0</v>
      </c>
      <c r="Q205" s="184">
        <v>0</v>
      </c>
      <c r="R205" s="184">
        <v>0</v>
      </c>
      <c r="S205" s="184">
        <v>0</v>
      </c>
      <c r="T205" s="184">
        <v>1</v>
      </c>
      <c r="U205" s="184">
        <v>1</v>
      </c>
      <c r="V205" s="184">
        <v>0</v>
      </c>
      <c r="W205" s="184">
        <v>0</v>
      </c>
      <c r="X205" s="184">
        <v>0</v>
      </c>
      <c r="Y205" s="184">
        <v>0</v>
      </c>
      <c r="Z205" s="184">
        <v>0</v>
      </c>
      <c r="AA205" s="184">
        <v>0</v>
      </c>
      <c r="AB205" s="184">
        <v>0</v>
      </c>
      <c r="AC205" s="185">
        <v>34.799999999999997</v>
      </c>
      <c r="AD205" s="185" t="s">
        <v>24</v>
      </c>
      <c r="AE205" s="184">
        <v>0</v>
      </c>
      <c r="AF205" s="185">
        <v>0</v>
      </c>
      <c r="AG205" s="184">
        <v>0</v>
      </c>
      <c r="AH205" s="185">
        <v>0</v>
      </c>
      <c r="AI205" s="184">
        <v>0</v>
      </c>
      <c r="AJ205" s="643">
        <v>0</v>
      </c>
    </row>
    <row r="206" spans="1:36" x14ac:dyDescent="0.2">
      <c r="A206" s="440" t="s">
        <v>74</v>
      </c>
      <c r="B206" s="642">
        <v>6</v>
      </c>
      <c r="C206" s="184">
        <v>0</v>
      </c>
      <c r="D206" s="184">
        <v>5</v>
      </c>
      <c r="E206" s="184">
        <v>0</v>
      </c>
      <c r="F206" s="184">
        <v>1</v>
      </c>
      <c r="G206" s="184">
        <v>0</v>
      </c>
      <c r="H206" s="184">
        <v>0</v>
      </c>
      <c r="I206" s="184">
        <v>0</v>
      </c>
      <c r="J206" s="184">
        <v>0</v>
      </c>
      <c r="K206" s="184">
        <v>0</v>
      </c>
      <c r="L206" s="184">
        <v>0</v>
      </c>
      <c r="M206" s="654" t="s">
        <v>24</v>
      </c>
      <c r="N206" s="670" t="s">
        <v>74</v>
      </c>
      <c r="O206" s="642">
        <v>0</v>
      </c>
      <c r="P206" s="184">
        <v>0</v>
      </c>
      <c r="Q206" s="184">
        <v>0</v>
      </c>
      <c r="R206" s="184">
        <v>0</v>
      </c>
      <c r="S206" s="184">
        <v>0</v>
      </c>
      <c r="T206" s="184">
        <v>0</v>
      </c>
      <c r="U206" s="184">
        <v>5</v>
      </c>
      <c r="V206" s="184">
        <v>0</v>
      </c>
      <c r="W206" s="184">
        <v>0</v>
      </c>
      <c r="X206" s="184">
        <v>1</v>
      </c>
      <c r="Y206" s="184">
        <v>0</v>
      </c>
      <c r="Z206" s="184">
        <v>0</v>
      </c>
      <c r="AA206" s="184">
        <v>0</v>
      </c>
      <c r="AB206" s="184">
        <v>0</v>
      </c>
      <c r="AC206" s="185">
        <v>39.5</v>
      </c>
      <c r="AD206" s="185" t="s">
        <v>24</v>
      </c>
      <c r="AE206" s="184">
        <v>0</v>
      </c>
      <c r="AF206" s="185">
        <v>0</v>
      </c>
      <c r="AG206" s="184">
        <v>0</v>
      </c>
      <c r="AH206" s="185">
        <v>0</v>
      </c>
      <c r="AI206" s="184">
        <v>0</v>
      </c>
      <c r="AJ206" s="643">
        <v>0</v>
      </c>
    </row>
    <row r="207" spans="1:36" x14ac:dyDescent="0.2">
      <c r="A207" s="440" t="s">
        <v>124</v>
      </c>
      <c r="B207" s="642">
        <v>7</v>
      </c>
      <c r="C207" s="184">
        <v>0</v>
      </c>
      <c r="D207" s="184">
        <v>7</v>
      </c>
      <c r="E207" s="184">
        <v>0</v>
      </c>
      <c r="F207" s="184">
        <v>0</v>
      </c>
      <c r="G207" s="184">
        <v>0</v>
      </c>
      <c r="H207" s="184">
        <v>0</v>
      </c>
      <c r="I207" s="184">
        <v>0</v>
      </c>
      <c r="J207" s="184">
        <v>0</v>
      </c>
      <c r="K207" s="184">
        <v>0</v>
      </c>
      <c r="L207" s="184">
        <v>0</v>
      </c>
      <c r="M207" s="654" t="s">
        <v>24</v>
      </c>
      <c r="N207" s="670" t="s">
        <v>124</v>
      </c>
      <c r="O207" s="642">
        <v>0</v>
      </c>
      <c r="P207" s="184">
        <v>0</v>
      </c>
      <c r="Q207" s="184">
        <v>0</v>
      </c>
      <c r="R207" s="184">
        <v>0</v>
      </c>
      <c r="S207" s="184">
        <v>0</v>
      </c>
      <c r="T207" s="184">
        <v>2</v>
      </c>
      <c r="U207" s="184">
        <v>0</v>
      </c>
      <c r="V207" s="184">
        <v>3</v>
      </c>
      <c r="W207" s="184">
        <v>2</v>
      </c>
      <c r="X207" s="184">
        <v>0</v>
      </c>
      <c r="Y207" s="184">
        <v>0</v>
      </c>
      <c r="Z207" s="184">
        <v>0</v>
      </c>
      <c r="AA207" s="184">
        <v>0</v>
      </c>
      <c r="AB207" s="184">
        <v>0</v>
      </c>
      <c r="AC207" s="185">
        <v>41.5</v>
      </c>
      <c r="AD207" s="185" t="s">
        <v>24</v>
      </c>
      <c r="AE207" s="184">
        <v>0</v>
      </c>
      <c r="AF207" s="185">
        <v>0</v>
      </c>
      <c r="AG207" s="184">
        <v>0</v>
      </c>
      <c r="AH207" s="185">
        <v>0</v>
      </c>
      <c r="AI207" s="184">
        <v>0</v>
      </c>
      <c r="AJ207" s="643">
        <v>0</v>
      </c>
    </row>
    <row r="208" spans="1:36" x14ac:dyDescent="0.2">
      <c r="A208" s="440" t="s">
        <v>125</v>
      </c>
      <c r="B208" s="642">
        <v>5</v>
      </c>
      <c r="C208" s="184">
        <v>0</v>
      </c>
      <c r="D208" s="184">
        <v>5</v>
      </c>
      <c r="E208" s="184">
        <v>0</v>
      </c>
      <c r="F208" s="184">
        <v>0</v>
      </c>
      <c r="G208" s="184">
        <v>0</v>
      </c>
      <c r="H208" s="184">
        <v>0</v>
      </c>
      <c r="I208" s="184">
        <v>0</v>
      </c>
      <c r="J208" s="184">
        <v>0</v>
      </c>
      <c r="K208" s="184">
        <v>0</v>
      </c>
      <c r="L208" s="184">
        <v>0</v>
      </c>
      <c r="M208" s="654" t="s">
        <v>24</v>
      </c>
      <c r="N208" s="670" t="s">
        <v>125</v>
      </c>
      <c r="O208" s="642">
        <v>0</v>
      </c>
      <c r="P208" s="184">
        <v>0</v>
      </c>
      <c r="Q208" s="184">
        <v>0</v>
      </c>
      <c r="R208" s="184">
        <v>0</v>
      </c>
      <c r="S208" s="184">
        <v>0</v>
      </c>
      <c r="T208" s="184">
        <v>2</v>
      </c>
      <c r="U208" s="184">
        <v>1</v>
      </c>
      <c r="V208" s="184">
        <v>2</v>
      </c>
      <c r="W208" s="184">
        <v>0</v>
      </c>
      <c r="X208" s="184">
        <v>0</v>
      </c>
      <c r="Y208" s="184">
        <v>0</v>
      </c>
      <c r="Z208" s="184">
        <v>0</v>
      </c>
      <c r="AA208" s="184">
        <v>0</v>
      </c>
      <c r="AB208" s="184">
        <v>0</v>
      </c>
      <c r="AC208" s="185">
        <v>38</v>
      </c>
      <c r="AD208" s="185" t="s">
        <v>24</v>
      </c>
      <c r="AE208" s="184">
        <v>0</v>
      </c>
      <c r="AF208" s="185">
        <v>0</v>
      </c>
      <c r="AG208" s="184">
        <v>0</v>
      </c>
      <c r="AH208" s="185">
        <v>0</v>
      </c>
      <c r="AI208" s="184">
        <v>0</v>
      </c>
      <c r="AJ208" s="643">
        <v>0</v>
      </c>
    </row>
    <row r="209" spans="1:36" x14ac:dyDescent="0.2">
      <c r="A209" s="440" t="s">
        <v>126</v>
      </c>
      <c r="B209" s="642">
        <v>1</v>
      </c>
      <c r="C209" s="184">
        <v>0</v>
      </c>
      <c r="D209" s="184">
        <v>1</v>
      </c>
      <c r="E209" s="184">
        <v>0</v>
      </c>
      <c r="F209" s="184">
        <v>0</v>
      </c>
      <c r="G209" s="184">
        <v>0</v>
      </c>
      <c r="H209" s="184">
        <v>0</v>
      </c>
      <c r="I209" s="184">
        <v>0</v>
      </c>
      <c r="J209" s="184">
        <v>0</v>
      </c>
      <c r="K209" s="184">
        <v>0</v>
      </c>
      <c r="L209" s="184">
        <v>0</v>
      </c>
      <c r="M209" s="654" t="s">
        <v>24</v>
      </c>
      <c r="N209" s="670" t="s">
        <v>126</v>
      </c>
      <c r="O209" s="642">
        <v>0</v>
      </c>
      <c r="P209" s="184">
        <v>0</v>
      </c>
      <c r="Q209" s="184">
        <v>0</v>
      </c>
      <c r="R209" s="184">
        <v>0</v>
      </c>
      <c r="S209" s="184">
        <v>0</v>
      </c>
      <c r="T209" s="184">
        <v>0</v>
      </c>
      <c r="U209" s="184">
        <v>0</v>
      </c>
      <c r="V209" s="184">
        <v>0</v>
      </c>
      <c r="W209" s="184">
        <v>1</v>
      </c>
      <c r="X209" s="184">
        <v>0</v>
      </c>
      <c r="Y209" s="184">
        <v>0</v>
      </c>
      <c r="Z209" s="184">
        <v>0</v>
      </c>
      <c r="AA209" s="184">
        <v>0</v>
      </c>
      <c r="AB209" s="184">
        <v>0</v>
      </c>
      <c r="AC209" s="185">
        <v>46.3</v>
      </c>
      <c r="AD209" s="185" t="s">
        <v>24</v>
      </c>
      <c r="AE209" s="184">
        <v>0</v>
      </c>
      <c r="AF209" s="185">
        <v>0</v>
      </c>
      <c r="AG209" s="184">
        <v>0</v>
      </c>
      <c r="AH209" s="185">
        <v>0</v>
      </c>
      <c r="AI209" s="184">
        <v>0</v>
      </c>
      <c r="AJ209" s="643">
        <v>0</v>
      </c>
    </row>
    <row r="210" spans="1:36" x14ac:dyDescent="0.2">
      <c r="A210" s="440" t="s">
        <v>76</v>
      </c>
      <c r="B210" s="642">
        <v>4</v>
      </c>
      <c r="C210" s="184">
        <v>0</v>
      </c>
      <c r="D210" s="184">
        <v>4</v>
      </c>
      <c r="E210" s="184">
        <v>0</v>
      </c>
      <c r="F210" s="184">
        <v>0</v>
      </c>
      <c r="G210" s="184">
        <v>0</v>
      </c>
      <c r="H210" s="184">
        <v>0</v>
      </c>
      <c r="I210" s="184">
        <v>0</v>
      </c>
      <c r="J210" s="184">
        <v>0</v>
      </c>
      <c r="K210" s="184">
        <v>0</v>
      </c>
      <c r="L210" s="184">
        <v>0</v>
      </c>
      <c r="M210" s="654" t="s">
        <v>24</v>
      </c>
      <c r="N210" s="670" t="s">
        <v>76</v>
      </c>
      <c r="O210" s="642">
        <v>0</v>
      </c>
      <c r="P210" s="184">
        <v>0</v>
      </c>
      <c r="Q210" s="184">
        <v>0</v>
      </c>
      <c r="R210" s="184">
        <v>0</v>
      </c>
      <c r="S210" s="184">
        <v>1</v>
      </c>
      <c r="T210" s="184">
        <v>0</v>
      </c>
      <c r="U210" s="184">
        <v>0</v>
      </c>
      <c r="V210" s="184">
        <v>0</v>
      </c>
      <c r="W210" s="184">
        <v>3</v>
      </c>
      <c r="X210" s="184">
        <v>0</v>
      </c>
      <c r="Y210" s="184">
        <v>0</v>
      </c>
      <c r="Z210" s="184">
        <v>0</v>
      </c>
      <c r="AA210" s="184">
        <v>0</v>
      </c>
      <c r="AB210" s="184">
        <v>0</v>
      </c>
      <c r="AC210" s="185">
        <v>42.2</v>
      </c>
      <c r="AD210" s="185" t="s">
        <v>24</v>
      </c>
      <c r="AE210" s="184">
        <v>0</v>
      </c>
      <c r="AF210" s="185">
        <v>0</v>
      </c>
      <c r="AG210" s="184">
        <v>0</v>
      </c>
      <c r="AH210" s="185">
        <v>0</v>
      </c>
      <c r="AI210" s="184">
        <v>0</v>
      </c>
      <c r="AJ210" s="643">
        <v>0</v>
      </c>
    </row>
    <row r="211" spans="1:36" x14ac:dyDescent="0.2">
      <c r="A211" s="440" t="s">
        <v>127</v>
      </c>
      <c r="B211" s="642">
        <v>1</v>
      </c>
      <c r="C211" s="184">
        <v>0</v>
      </c>
      <c r="D211" s="184">
        <v>1</v>
      </c>
      <c r="E211" s="184">
        <v>0</v>
      </c>
      <c r="F211" s="184">
        <v>0</v>
      </c>
      <c r="G211" s="184">
        <v>0</v>
      </c>
      <c r="H211" s="184">
        <v>0</v>
      </c>
      <c r="I211" s="184">
        <v>0</v>
      </c>
      <c r="J211" s="184">
        <v>0</v>
      </c>
      <c r="K211" s="184">
        <v>0</v>
      </c>
      <c r="L211" s="184">
        <v>0</v>
      </c>
      <c r="M211" s="654" t="s">
        <v>24</v>
      </c>
      <c r="N211" s="670" t="s">
        <v>127</v>
      </c>
      <c r="O211" s="642">
        <v>0</v>
      </c>
      <c r="P211" s="184">
        <v>0</v>
      </c>
      <c r="Q211" s="184">
        <v>0</v>
      </c>
      <c r="R211" s="184">
        <v>0</v>
      </c>
      <c r="S211" s="184">
        <v>0</v>
      </c>
      <c r="T211" s="184">
        <v>0</v>
      </c>
      <c r="U211" s="184">
        <v>0</v>
      </c>
      <c r="V211" s="184">
        <v>0</v>
      </c>
      <c r="W211" s="184">
        <v>0</v>
      </c>
      <c r="X211" s="184">
        <v>1</v>
      </c>
      <c r="Y211" s="184">
        <v>0</v>
      </c>
      <c r="Z211" s="184">
        <v>0</v>
      </c>
      <c r="AA211" s="184">
        <v>0</v>
      </c>
      <c r="AB211" s="184">
        <v>0</v>
      </c>
      <c r="AC211" s="185">
        <v>50</v>
      </c>
      <c r="AD211" s="185" t="s">
        <v>24</v>
      </c>
      <c r="AE211" s="184">
        <v>0</v>
      </c>
      <c r="AF211" s="185">
        <v>0</v>
      </c>
      <c r="AG211" s="184">
        <v>0</v>
      </c>
      <c r="AH211" s="185">
        <v>0</v>
      </c>
      <c r="AI211" s="184">
        <v>0</v>
      </c>
      <c r="AJ211" s="643">
        <v>0</v>
      </c>
    </row>
    <row r="212" spans="1:36" x14ac:dyDescent="0.2">
      <c r="A212" s="440" t="s">
        <v>128</v>
      </c>
      <c r="B212" s="642">
        <v>3</v>
      </c>
      <c r="C212" s="184">
        <v>0</v>
      </c>
      <c r="D212" s="184">
        <v>3</v>
      </c>
      <c r="E212" s="184">
        <v>0</v>
      </c>
      <c r="F212" s="184">
        <v>0</v>
      </c>
      <c r="G212" s="184">
        <v>0</v>
      </c>
      <c r="H212" s="184">
        <v>0</v>
      </c>
      <c r="I212" s="184">
        <v>0</v>
      </c>
      <c r="J212" s="184">
        <v>0</v>
      </c>
      <c r="K212" s="184">
        <v>0</v>
      </c>
      <c r="L212" s="184">
        <v>0</v>
      </c>
      <c r="M212" s="654" t="s">
        <v>24</v>
      </c>
      <c r="N212" s="670" t="s">
        <v>128</v>
      </c>
      <c r="O212" s="642">
        <v>0</v>
      </c>
      <c r="P212" s="184">
        <v>0</v>
      </c>
      <c r="Q212" s="184">
        <v>0</v>
      </c>
      <c r="R212" s="184">
        <v>0</v>
      </c>
      <c r="S212" s="184">
        <v>0</v>
      </c>
      <c r="T212" s="184">
        <v>1</v>
      </c>
      <c r="U212" s="184">
        <v>1</v>
      </c>
      <c r="V212" s="184">
        <v>0</v>
      </c>
      <c r="W212" s="184">
        <v>1</v>
      </c>
      <c r="X212" s="184">
        <v>0</v>
      </c>
      <c r="Y212" s="184">
        <v>0</v>
      </c>
      <c r="Z212" s="184">
        <v>0</v>
      </c>
      <c r="AA212" s="184">
        <v>0</v>
      </c>
      <c r="AB212" s="184">
        <v>0</v>
      </c>
      <c r="AC212" s="185">
        <v>38.9</v>
      </c>
      <c r="AD212" s="185" t="s">
        <v>24</v>
      </c>
      <c r="AE212" s="184">
        <v>0</v>
      </c>
      <c r="AF212" s="185">
        <v>0</v>
      </c>
      <c r="AG212" s="184">
        <v>0</v>
      </c>
      <c r="AH212" s="185">
        <v>0</v>
      </c>
      <c r="AI212" s="184">
        <v>0</v>
      </c>
      <c r="AJ212" s="643">
        <v>0</v>
      </c>
    </row>
    <row r="213" spans="1:36" x14ac:dyDescent="0.2">
      <c r="A213" s="440" t="s">
        <v>129</v>
      </c>
      <c r="B213" s="642">
        <v>3</v>
      </c>
      <c r="C213" s="184">
        <v>0</v>
      </c>
      <c r="D213" s="184">
        <v>2</v>
      </c>
      <c r="E213" s="184">
        <v>0</v>
      </c>
      <c r="F213" s="184">
        <v>1</v>
      </c>
      <c r="G213" s="184">
        <v>0</v>
      </c>
      <c r="H213" s="184">
        <v>0</v>
      </c>
      <c r="I213" s="184">
        <v>0</v>
      </c>
      <c r="J213" s="184">
        <v>0</v>
      </c>
      <c r="K213" s="184">
        <v>0</v>
      </c>
      <c r="L213" s="184">
        <v>0</v>
      </c>
      <c r="M213" s="654" t="s">
        <v>24</v>
      </c>
      <c r="N213" s="670" t="s">
        <v>129</v>
      </c>
      <c r="O213" s="642">
        <v>0</v>
      </c>
      <c r="P213" s="184">
        <v>0</v>
      </c>
      <c r="Q213" s="184">
        <v>0</v>
      </c>
      <c r="R213" s="184">
        <v>0</v>
      </c>
      <c r="S213" s="184">
        <v>0</v>
      </c>
      <c r="T213" s="184">
        <v>0</v>
      </c>
      <c r="U213" s="184">
        <v>0</v>
      </c>
      <c r="V213" s="184">
        <v>0</v>
      </c>
      <c r="W213" s="184">
        <v>2</v>
      </c>
      <c r="X213" s="184">
        <v>1</v>
      </c>
      <c r="Y213" s="184">
        <v>0</v>
      </c>
      <c r="Z213" s="184">
        <v>0</v>
      </c>
      <c r="AA213" s="184">
        <v>0</v>
      </c>
      <c r="AB213" s="184">
        <v>0</v>
      </c>
      <c r="AC213" s="185">
        <v>48.2</v>
      </c>
      <c r="AD213" s="185" t="s">
        <v>24</v>
      </c>
      <c r="AE213" s="184">
        <v>0</v>
      </c>
      <c r="AF213" s="185">
        <v>0</v>
      </c>
      <c r="AG213" s="184">
        <v>0</v>
      </c>
      <c r="AH213" s="185">
        <v>0</v>
      </c>
      <c r="AI213" s="184">
        <v>0</v>
      </c>
      <c r="AJ213" s="643">
        <v>0</v>
      </c>
    </row>
    <row r="214" spans="1:36" x14ac:dyDescent="0.2">
      <c r="A214" s="440" t="s">
        <v>78</v>
      </c>
      <c r="B214" s="642">
        <v>0</v>
      </c>
      <c r="C214" s="184">
        <v>0</v>
      </c>
      <c r="D214" s="184">
        <v>0</v>
      </c>
      <c r="E214" s="184">
        <v>0</v>
      </c>
      <c r="F214" s="184">
        <v>0</v>
      </c>
      <c r="G214" s="184">
        <v>0</v>
      </c>
      <c r="H214" s="184">
        <v>0</v>
      </c>
      <c r="I214" s="184">
        <v>0</v>
      </c>
      <c r="J214" s="184">
        <v>0</v>
      </c>
      <c r="K214" s="184">
        <v>0</v>
      </c>
      <c r="L214" s="184">
        <v>0</v>
      </c>
      <c r="M214" s="654" t="s">
        <v>24</v>
      </c>
      <c r="N214" s="670" t="s">
        <v>78</v>
      </c>
      <c r="O214" s="642">
        <v>0</v>
      </c>
      <c r="P214" s="184">
        <v>0</v>
      </c>
      <c r="Q214" s="184">
        <v>0</v>
      </c>
      <c r="R214" s="184">
        <v>0</v>
      </c>
      <c r="S214" s="184">
        <v>0</v>
      </c>
      <c r="T214" s="184">
        <v>0</v>
      </c>
      <c r="U214" s="184">
        <v>0</v>
      </c>
      <c r="V214" s="184">
        <v>0</v>
      </c>
      <c r="W214" s="184">
        <v>0</v>
      </c>
      <c r="X214" s="184">
        <v>0</v>
      </c>
      <c r="Y214" s="184">
        <v>0</v>
      </c>
      <c r="Z214" s="184">
        <v>0</v>
      </c>
      <c r="AA214" s="184">
        <v>0</v>
      </c>
      <c r="AB214" s="184">
        <v>0</v>
      </c>
      <c r="AC214" s="185" t="s">
        <v>24</v>
      </c>
      <c r="AD214" s="185" t="s">
        <v>24</v>
      </c>
      <c r="AE214" s="184">
        <v>0</v>
      </c>
      <c r="AF214" s="185">
        <v>0</v>
      </c>
      <c r="AG214" s="184">
        <v>0</v>
      </c>
      <c r="AH214" s="185">
        <v>0</v>
      </c>
      <c r="AI214" s="184">
        <v>0</v>
      </c>
      <c r="AJ214" s="643">
        <v>0</v>
      </c>
    </row>
    <row r="215" spans="1:36" x14ac:dyDescent="0.2">
      <c r="A215" s="440" t="s">
        <v>130</v>
      </c>
      <c r="B215" s="642">
        <v>1</v>
      </c>
      <c r="C215" s="184">
        <v>1</v>
      </c>
      <c r="D215" s="184">
        <v>0</v>
      </c>
      <c r="E215" s="184">
        <v>0</v>
      </c>
      <c r="F215" s="184">
        <v>0</v>
      </c>
      <c r="G215" s="184">
        <v>0</v>
      </c>
      <c r="H215" s="184">
        <v>0</v>
      </c>
      <c r="I215" s="184">
        <v>0</v>
      </c>
      <c r="J215" s="184">
        <v>0</v>
      </c>
      <c r="K215" s="184">
        <v>0</v>
      </c>
      <c r="L215" s="184">
        <v>0</v>
      </c>
      <c r="M215" s="654" t="s">
        <v>24</v>
      </c>
      <c r="N215" s="670" t="s">
        <v>130</v>
      </c>
      <c r="O215" s="642">
        <v>0</v>
      </c>
      <c r="P215" s="184">
        <v>1</v>
      </c>
      <c r="Q215" s="184">
        <v>0</v>
      </c>
      <c r="R215" s="184">
        <v>0</v>
      </c>
      <c r="S215" s="184">
        <v>0</v>
      </c>
      <c r="T215" s="184">
        <v>0</v>
      </c>
      <c r="U215" s="184">
        <v>0</v>
      </c>
      <c r="V215" s="184">
        <v>0</v>
      </c>
      <c r="W215" s="184">
        <v>0</v>
      </c>
      <c r="X215" s="184">
        <v>0</v>
      </c>
      <c r="Y215" s="184">
        <v>0</v>
      </c>
      <c r="Z215" s="184">
        <v>0</v>
      </c>
      <c r="AA215" s="184">
        <v>0</v>
      </c>
      <c r="AB215" s="184">
        <v>0</v>
      </c>
      <c r="AC215" s="185">
        <v>13.7</v>
      </c>
      <c r="AD215" s="185" t="s">
        <v>24</v>
      </c>
      <c r="AE215" s="184">
        <v>0</v>
      </c>
      <c r="AF215" s="185">
        <v>0</v>
      </c>
      <c r="AG215" s="184">
        <v>0</v>
      </c>
      <c r="AH215" s="185">
        <v>0</v>
      </c>
      <c r="AI215" s="184">
        <v>0</v>
      </c>
      <c r="AJ215" s="643">
        <v>0</v>
      </c>
    </row>
    <row r="216" spans="1:36" x14ac:dyDescent="0.2">
      <c r="A216" s="440" t="s">
        <v>131</v>
      </c>
      <c r="B216" s="642">
        <v>0</v>
      </c>
      <c r="C216" s="184">
        <v>0</v>
      </c>
      <c r="D216" s="184">
        <v>0</v>
      </c>
      <c r="E216" s="184">
        <v>0</v>
      </c>
      <c r="F216" s="184">
        <v>0</v>
      </c>
      <c r="G216" s="184">
        <v>0</v>
      </c>
      <c r="H216" s="184">
        <v>0</v>
      </c>
      <c r="I216" s="184">
        <v>0</v>
      </c>
      <c r="J216" s="184">
        <v>0</v>
      </c>
      <c r="K216" s="184">
        <v>0</v>
      </c>
      <c r="L216" s="184">
        <v>0</v>
      </c>
      <c r="M216" s="654" t="s">
        <v>24</v>
      </c>
      <c r="N216" s="670" t="s">
        <v>131</v>
      </c>
      <c r="O216" s="642">
        <v>0</v>
      </c>
      <c r="P216" s="184">
        <v>0</v>
      </c>
      <c r="Q216" s="184">
        <v>0</v>
      </c>
      <c r="R216" s="184">
        <v>0</v>
      </c>
      <c r="S216" s="184">
        <v>0</v>
      </c>
      <c r="T216" s="184">
        <v>0</v>
      </c>
      <c r="U216" s="184">
        <v>0</v>
      </c>
      <c r="V216" s="184">
        <v>0</v>
      </c>
      <c r="W216" s="184">
        <v>0</v>
      </c>
      <c r="X216" s="184">
        <v>0</v>
      </c>
      <c r="Y216" s="184">
        <v>0</v>
      </c>
      <c r="Z216" s="184">
        <v>0</v>
      </c>
      <c r="AA216" s="184">
        <v>0</v>
      </c>
      <c r="AB216" s="184">
        <v>0</v>
      </c>
      <c r="AC216" s="185" t="s">
        <v>24</v>
      </c>
      <c r="AD216" s="185" t="s">
        <v>24</v>
      </c>
      <c r="AE216" s="184">
        <v>0</v>
      </c>
      <c r="AF216" s="185">
        <v>0</v>
      </c>
      <c r="AG216" s="184">
        <v>0</v>
      </c>
      <c r="AH216" s="185">
        <v>0</v>
      </c>
      <c r="AI216" s="184">
        <v>0</v>
      </c>
      <c r="AJ216" s="643">
        <v>0</v>
      </c>
    </row>
    <row r="217" spans="1:36" x14ac:dyDescent="0.2">
      <c r="A217" s="440" t="s">
        <v>132</v>
      </c>
      <c r="B217" s="648">
        <v>0</v>
      </c>
      <c r="C217" s="649">
        <v>0</v>
      </c>
      <c r="D217" s="649">
        <v>0</v>
      </c>
      <c r="E217" s="649">
        <v>0</v>
      </c>
      <c r="F217" s="649">
        <v>0</v>
      </c>
      <c r="G217" s="649">
        <v>0</v>
      </c>
      <c r="H217" s="649">
        <v>0</v>
      </c>
      <c r="I217" s="649">
        <v>0</v>
      </c>
      <c r="J217" s="649">
        <v>0</v>
      </c>
      <c r="K217" s="649">
        <v>0</v>
      </c>
      <c r="L217" s="649">
        <v>0</v>
      </c>
      <c r="M217" s="657" t="s">
        <v>24</v>
      </c>
      <c r="N217" s="670" t="s">
        <v>132</v>
      </c>
      <c r="O217" s="648">
        <v>0</v>
      </c>
      <c r="P217" s="649">
        <v>0</v>
      </c>
      <c r="Q217" s="649">
        <v>0</v>
      </c>
      <c r="R217" s="649">
        <v>0</v>
      </c>
      <c r="S217" s="649">
        <v>0</v>
      </c>
      <c r="T217" s="649">
        <v>0</v>
      </c>
      <c r="U217" s="649">
        <v>0</v>
      </c>
      <c r="V217" s="649">
        <v>0</v>
      </c>
      <c r="W217" s="649">
        <v>0</v>
      </c>
      <c r="X217" s="649">
        <v>0</v>
      </c>
      <c r="Y217" s="649">
        <v>0</v>
      </c>
      <c r="Z217" s="649">
        <v>0</v>
      </c>
      <c r="AA217" s="649">
        <v>0</v>
      </c>
      <c r="AB217" s="649">
        <v>0</v>
      </c>
      <c r="AC217" s="650" t="s">
        <v>24</v>
      </c>
      <c r="AD217" s="650" t="s">
        <v>24</v>
      </c>
      <c r="AE217" s="649">
        <v>0</v>
      </c>
      <c r="AF217" s="650">
        <v>0</v>
      </c>
      <c r="AG217" s="649">
        <v>0</v>
      </c>
      <c r="AH217" s="650">
        <v>0</v>
      </c>
      <c r="AI217" s="649">
        <v>0</v>
      </c>
      <c r="AJ217" s="651">
        <v>0</v>
      </c>
    </row>
    <row r="218" spans="1:36" x14ac:dyDescent="0.2">
      <c r="A218" s="440" t="s">
        <v>133</v>
      </c>
      <c r="B218" s="598">
        <v>616</v>
      </c>
      <c r="C218" s="599">
        <v>8</v>
      </c>
      <c r="D218" s="599">
        <v>528</v>
      </c>
      <c r="E218" s="599">
        <v>11</v>
      </c>
      <c r="F218" s="599">
        <v>66</v>
      </c>
      <c r="G218" s="599">
        <v>1</v>
      </c>
      <c r="H218" s="599">
        <v>0</v>
      </c>
      <c r="I218" s="599">
        <v>2</v>
      </c>
      <c r="J218" s="599">
        <v>0</v>
      </c>
      <c r="K218" s="599">
        <v>0</v>
      </c>
      <c r="L218" s="599">
        <v>0</v>
      </c>
      <c r="M218" s="599" t="s">
        <v>24</v>
      </c>
      <c r="N218" s="587" t="s">
        <v>133</v>
      </c>
      <c r="O218" s="599">
        <v>0</v>
      </c>
      <c r="P218" s="599">
        <v>6</v>
      </c>
      <c r="Q218" s="599">
        <v>6</v>
      </c>
      <c r="R218" s="599">
        <v>16</v>
      </c>
      <c r="S218" s="599">
        <v>33</v>
      </c>
      <c r="T218" s="599">
        <v>100</v>
      </c>
      <c r="U218" s="599">
        <v>166</v>
      </c>
      <c r="V218" s="599">
        <v>158</v>
      </c>
      <c r="W218" s="599">
        <v>85</v>
      </c>
      <c r="X218" s="599">
        <v>44</v>
      </c>
      <c r="Y218" s="599">
        <v>2</v>
      </c>
      <c r="Z218" s="599">
        <v>0</v>
      </c>
      <c r="AA218" s="599">
        <v>0</v>
      </c>
      <c r="AB218" s="599">
        <v>0</v>
      </c>
      <c r="AC218" s="611">
        <v>38.981250000000003</v>
      </c>
      <c r="AD218" s="611">
        <v>46.303999999999995</v>
      </c>
      <c r="AE218" s="599">
        <v>2</v>
      </c>
      <c r="AF218" s="611">
        <v>0.3125</v>
      </c>
      <c r="AG218" s="599">
        <v>0</v>
      </c>
      <c r="AH218" s="611">
        <v>0</v>
      </c>
      <c r="AI218" s="599">
        <v>0</v>
      </c>
      <c r="AJ218" s="612">
        <v>0</v>
      </c>
    </row>
    <row r="219" spans="1:36" x14ac:dyDescent="0.2">
      <c r="A219" s="440" t="s">
        <v>134</v>
      </c>
      <c r="B219" s="601">
        <v>716</v>
      </c>
      <c r="C219" s="441">
        <v>9</v>
      </c>
      <c r="D219" s="441">
        <v>621</v>
      </c>
      <c r="E219" s="441">
        <v>12</v>
      </c>
      <c r="F219" s="441">
        <v>71</v>
      </c>
      <c r="G219" s="441">
        <v>1</v>
      </c>
      <c r="H219" s="441">
        <v>0</v>
      </c>
      <c r="I219" s="441">
        <v>2</v>
      </c>
      <c r="J219" s="441">
        <v>0</v>
      </c>
      <c r="K219" s="441">
        <v>0</v>
      </c>
      <c r="L219" s="441">
        <v>0</v>
      </c>
      <c r="M219" s="441" t="s">
        <v>24</v>
      </c>
      <c r="N219" s="588" t="s">
        <v>134</v>
      </c>
      <c r="O219" s="441">
        <v>0</v>
      </c>
      <c r="P219" s="441">
        <v>6</v>
      </c>
      <c r="Q219" s="441">
        <v>7</v>
      </c>
      <c r="R219" s="441">
        <v>16</v>
      </c>
      <c r="S219" s="441">
        <v>35</v>
      </c>
      <c r="T219" s="441">
        <v>110</v>
      </c>
      <c r="U219" s="441">
        <v>190</v>
      </c>
      <c r="V219" s="441">
        <v>191</v>
      </c>
      <c r="W219" s="441">
        <v>103</v>
      </c>
      <c r="X219" s="441">
        <v>54</v>
      </c>
      <c r="Y219" s="441">
        <v>4</v>
      </c>
      <c r="Z219" s="441">
        <v>0</v>
      </c>
      <c r="AA219" s="441">
        <v>0</v>
      </c>
      <c r="AB219" s="441">
        <v>0</v>
      </c>
      <c r="AC219" s="442">
        <v>39.689062500000013</v>
      </c>
      <c r="AD219" s="442">
        <v>46.592857142857149</v>
      </c>
      <c r="AE219" s="441">
        <v>4</v>
      </c>
      <c r="AF219" s="442">
        <v>0.55989583333333326</v>
      </c>
      <c r="AG219" s="441">
        <v>0</v>
      </c>
      <c r="AH219" s="442">
        <v>0</v>
      </c>
      <c r="AI219" s="441">
        <v>0</v>
      </c>
      <c r="AJ219" s="613">
        <v>0</v>
      </c>
    </row>
    <row r="220" spans="1:36" x14ac:dyDescent="0.2">
      <c r="A220" s="440" t="s">
        <v>135</v>
      </c>
      <c r="B220" s="601">
        <v>728</v>
      </c>
      <c r="C220" s="441">
        <v>10</v>
      </c>
      <c r="D220" s="441">
        <v>631</v>
      </c>
      <c r="E220" s="441">
        <v>12</v>
      </c>
      <c r="F220" s="441">
        <v>72</v>
      </c>
      <c r="G220" s="441">
        <v>1</v>
      </c>
      <c r="H220" s="441">
        <v>0</v>
      </c>
      <c r="I220" s="441">
        <v>2</v>
      </c>
      <c r="J220" s="441">
        <v>0</v>
      </c>
      <c r="K220" s="441">
        <v>0</v>
      </c>
      <c r="L220" s="441">
        <v>0</v>
      </c>
      <c r="M220" s="441" t="s">
        <v>24</v>
      </c>
      <c r="N220" s="588" t="s">
        <v>135</v>
      </c>
      <c r="O220" s="441">
        <v>0</v>
      </c>
      <c r="P220" s="441">
        <v>7</v>
      </c>
      <c r="Q220" s="441">
        <v>7</v>
      </c>
      <c r="R220" s="441">
        <v>16</v>
      </c>
      <c r="S220" s="441">
        <v>36</v>
      </c>
      <c r="T220" s="441">
        <v>111</v>
      </c>
      <c r="U220" s="441">
        <v>191</v>
      </c>
      <c r="V220" s="441">
        <v>191</v>
      </c>
      <c r="W220" s="441">
        <v>109</v>
      </c>
      <c r="X220" s="441">
        <v>56</v>
      </c>
      <c r="Y220" s="441">
        <v>4</v>
      </c>
      <c r="Z220" s="441">
        <v>0</v>
      </c>
      <c r="AA220" s="441">
        <v>0</v>
      </c>
      <c r="AB220" s="441">
        <v>0</v>
      </c>
      <c r="AC220" s="442">
        <v>39.61014492753624</v>
      </c>
      <c r="AD220" s="442">
        <v>46.592857142857149</v>
      </c>
      <c r="AE220" s="441">
        <v>4</v>
      </c>
      <c r="AF220" s="442">
        <v>0.49768518518518512</v>
      </c>
      <c r="AG220" s="441">
        <v>0</v>
      </c>
      <c r="AH220" s="442">
        <v>0</v>
      </c>
      <c r="AI220" s="441">
        <v>0</v>
      </c>
      <c r="AJ220" s="613">
        <v>0</v>
      </c>
    </row>
    <row r="221" spans="1:36" x14ac:dyDescent="0.2">
      <c r="A221" s="440" t="s">
        <v>136</v>
      </c>
      <c r="B221" s="603">
        <v>745</v>
      </c>
      <c r="C221" s="604">
        <v>10</v>
      </c>
      <c r="D221" s="604">
        <v>646</v>
      </c>
      <c r="E221" s="604">
        <v>12</v>
      </c>
      <c r="F221" s="604">
        <v>73</v>
      </c>
      <c r="G221" s="604">
        <v>2</v>
      </c>
      <c r="H221" s="604">
        <v>0</v>
      </c>
      <c r="I221" s="604">
        <v>2</v>
      </c>
      <c r="J221" s="604">
        <v>0</v>
      </c>
      <c r="K221" s="604">
        <v>0</v>
      </c>
      <c r="L221" s="604">
        <v>0</v>
      </c>
      <c r="M221" s="604" t="s">
        <v>24</v>
      </c>
      <c r="N221" s="589" t="s">
        <v>136</v>
      </c>
      <c r="O221" s="604">
        <v>0</v>
      </c>
      <c r="P221" s="604">
        <v>7</v>
      </c>
      <c r="Q221" s="604">
        <v>7</v>
      </c>
      <c r="R221" s="604">
        <v>16</v>
      </c>
      <c r="S221" s="604">
        <v>36</v>
      </c>
      <c r="T221" s="604">
        <v>111</v>
      </c>
      <c r="U221" s="604">
        <v>194</v>
      </c>
      <c r="V221" s="604">
        <v>196</v>
      </c>
      <c r="W221" s="604">
        <v>111</v>
      </c>
      <c r="X221" s="604">
        <v>60</v>
      </c>
      <c r="Y221" s="604">
        <v>7</v>
      </c>
      <c r="Z221" s="604">
        <v>0</v>
      </c>
      <c r="AA221" s="604">
        <v>0</v>
      </c>
      <c r="AB221" s="604">
        <v>0</v>
      </c>
      <c r="AC221" s="614">
        <v>40.118666666666677</v>
      </c>
      <c r="AD221" s="614">
        <v>46.592857142857149</v>
      </c>
      <c r="AE221" s="604">
        <v>7</v>
      </c>
      <c r="AF221" s="614">
        <v>1.1024305555555556</v>
      </c>
      <c r="AG221" s="604">
        <v>0</v>
      </c>
      <c r="AH221" s="614">
        <v>0</v>
      </c>
      <c r="AI221" s="604">
        <v>0</v>
      </c>
      <c r="AJ221" s="615">
        <v>0</v>
      </c>
    </row>
    <row r="222" spans="1:36" x14ac:dyDescent="0.2">
      <c r="A222" s="440"/>
      <c r="B222" s="660"/>
      <c r="C222" s="661"/>
      <c r="D222" s="661"/>
      <c r="E222" s="661"/>
      <c r="F222" s="661"/>
      <c r="G222" s="661"/>
      <c r="H222" s="661"/>
      <c r="I222" s="661"/>
      <c r="J222" s="661"/>
      <c r="K222" s="661"/>
      <c r="L222" s="661"/>
      <c r="M222" s="661"/>
      <c r="N222" s="662"/>
      <c r="O222" s="661"/>
      <c r="P222" s="661"/>
      <c r="Q222" s="661"/>
      <c r="R222" s="661"/>
      <c r="S222" s="661"/>
      <c r="T222" s="661"/>
      <c r="U222" s="661"/>
      <c r="V222" s="661"/>
      <c r="W222" s="661"/>
      <c r="X222" s="661"/>
      <c r="Y222" s="661"/>
      <c r="Z222" s="661"/>
      <c r="AA222" s="661"/>
      <c r="AB222" s="661"/>
      <c r="AC222" s="663"/>
      <c r="AD222" s="663"/>
      <c r="AE222" s="661"/>
      <c r="AF222" s="663"/>
      <c r="AG222" s="661"/>
      <c r="AH222" s="663"/>
      <c r="AI222" s="661"/>
      <c r="AJ222" s="663"/>
    </row>
    <row r="223" spans="1:36" x14ac:dyDescent="0.2">
      <c r="A223" s="440"/>
      <c r="B223" s="664"/>
      <c r="C223" s="169"/>
      <c r="D223" s="169"/>
      <c r="E223" s="169"/>
      <c r="F223" s="169"/>
      <c r="G223" s="169"/>
      <c r="H223" s="169"/>
      <c r="I223" s="169"/>
      <c r="J223" s="169"/>
      <c r="K223" s="169"/>
      <c r="L223" s="169"/>
      <c r="M223" s="169"/>
      <c r="N223" s="178"/>
      <c r="O223" s="169"/>
      <c r="P223" s="169"/>
      <c r="Q223" s="169"/>
      <c r="R223" s="169"/>
      <c r="S223" s="169"/>
      <c r="T223" s="169"/>
      <c r="U223" s="169"/>
      <c r="V223" s="169"/>
      <c r="W223" s="169"/>
      <c r="X223" s="169"/>
      <c r="Y223" s="169"/>
      <c r="Z223" s="169"/>
      <c r="AA223" s="169"/>
      <c r="AB223" s="169"/>
      <c r="AC223" s="177"/>
      <c r="AD223" s="177"/>
      <c r="AE223" s="169"/>
      <c r="AF223" s="177"/>
      <c r="AG223" s="169"/>
      <c r="AH223" s="177"/>
      <c r="AI223" s="169"/>
      <c r="AJ223" s="177"/>
    </row>
    <row r="224" spans="1:36" x14ac:dyDescent="0.2">
      <c r="A224" s="659">
        <f>A117+1</f>
        <v>43265</v>
      </c>
      <c r="B224" s="664"/>
      <c r="C224" s="169"/>
      <c r="D224" s="169"/>
      <c r="E224" s="169"/>
      <c r="F224" s="169"/>
      <c r="G224" s="169"/>
      <c r="H224" s="169"/>
      <c r="I224" s="169"/>
      <c r="J224" s="169"/>
      <c r="K224" s="169"/>
      <c r="L224" s="169"/>
      <c r="M224" s="169"/>
      <c r="N224" s="178"/>
      <c r="O224" s="169"/>
      <c r="P224" s="169"/>
      <c r="Q224" s="169"/>
      <c r="R224" s="169"/>
      <c r="S224" s="169"/>
      <c r="T224" s="169"/>
      <c r="U224" s="169"/>
      <c r="V224" s="169"/>
      <c r="W224" s="169"/>
      <c r="X224" s="169"/>
      <c r="Y224" s="169"/>
      <c r="Z224" s="169"/>
      <c r="AA224" s="169"/>
      <c r="AB224" s="169"/>
      <c r="AC224" s="177"/>
      <c r="AD224" s="177"/>
      <c r="AE224" s="169"/>
      <c r="AF224" s="177"/>
      <c r="AG224" s="169"/>
      <c r="AH224" s="177"/>
      <c r="AI224" s="169"/>
      <c r="AJ224" s="177"/>
    </row>
    <row r="225" spans="1:36" x14ac:dyDescent="0.2">
      <c r="A225" s="440"/>
      <c r="B225" s="665"/>
      <c r="C225" s="666"/>
      <c r="D225" s="666"/>
      <c r="E225" s="666"/>
      <c r="F225" s="666"/>
      <c r="G225" s="666"/>
      <c r="H225" s="666"/>
      <c r="I225" s="666"/>
      <c r="J225" s="666"/>
      <c r="K225" s="666"/>
      <c r="L225" s="666"/>
      <c r="M225" s="666"/>
      <c r="N225" s="667"/>
      <c r="O225" s="666"/>
      <c r="P225" s="666"/>
      <c r="Q225" s="666"/>
      <c r="R225" s="666"/>
      <c r="S225" s="666"/>
      <c r="T225" s="666"/>
      <c r="U225" s="666"/>
      <c r="V225" s="666"/>
      <c r="W225" s="666"/>
      <c r="X225" s="666"/>
      <c r="Y225" s="666"/>
      <c r="Z225" s="666"/>
      <c r="AA225" s="666"/>
      <c r="AB225" s="666"/>
      <c r="AC225" s="668"/>
      <c r="AD225" s="668"/>
      <c r="AE225" s="666"/>
      <c r="AF225" s="668"/>
      <c r="AG225" s="666"/>
      <c r="AH225" s="668"/>
      <c r="AI225" s="666"/>
      <c r="AJ225" s="668"/>
    </row>
    <row r="226" spans="1:36" x14ac:dyDescent="0.2">
      <c r="A226" s="566" t="s">
        <v>252</v>
      </c>
      <c r="B226" s="576" t="s">
        <v>0</v>
      </c>
      <c r="C226" s="577" t="s">
        <v>442</v>
      </c>
      <c r="D226" s="577" t="s">
        <v>215</v>
      </c>
      <c r="E226" s="577" t="s">
        <v>443</v>
      </c>
      <c r="F226" s="577" t="s">
        <v>444</v>
      </c>
      <c r="G226" s="577" t="s">
        <v>445</v>
      </c>
      <c r="H226" s="577" t="s">
        <v>446</v>
      </c>
      <c r="I226" s="577" t="s">
        <v>447</v>
      </c>
      <c r="J226" s="577" t="s">
        <v>448</v>
      </c>
      <c r="K226" s="577" t="s">
        <v>449</v>
      </c>
      <c r="L226" s="577" t="s">
        <v>450</v>
      </c>
      <c r="M226" s="577"/>
      <c r="N226" s="587" t="s">
        <v>11</v>
      </c>
      <c r="O226" s="577" t="s">
        <v>268</v>
      </c>
      <c r="P226" s="577" t="s">
        <v>269</v>
      </c>
      <c r="Q226" s="577" t="s">
        <v>270</v>
      </c>
      <c r="R226" s="577" t="s">
        <v>271</v>
      </c>
      <c r="S226" s="577" t="s">
        <v>272</v>
      </c>
      <c r="T226" s="577" t="s">
        <v>273</v>
      </c>
      <c r="U226" s="577" t="s">
        <v>274</v>
      </c>
      <c r="V226" s="577" t="s">
        <v>275</v>
      </c>
      <c r="W226" s="577" t="s">
        <v>276</v>
      </c>
      <c r="X226" s="577" t="s">
        <v>277</v>
      </c>
      <c r="Y226" s="577" t="s">
        <v>278</v>
      </c>
      <c r="Z226" s="577" t="s">
        <v>279</v>
      </c>
      <c r="AA226" s="577" t="s">
        <v>280</v>
      </c>
      <c r="AB226" s="577" t="s">
        <v>281</v>
      </c>
      <c r="AC226" s="629" t="s">
        <v>258</v>
      </c>
      <c r="AD226" s="629" t="s">
        <v>13</v>
      </c>
      <c r="AE226" s="577" t="s">
        <v>166</v>
      </c>
      <c r="AF226" s="629" t="s">
        <v>259</v>
      </c>
      <c r="AG226" s="630" t="s">
        <v>260</v>
      </c>
      <c r="AH226" s="631" t="s">
        <v>261</v>
      </c>
      <c r="AI226" s="630" t="s">
        <v>262</v>
      </c>
      <c r="AJ226" s="632" t="s">
        <v>263</v>
      </c>
    </row>
    <row r="227" spans="1:36" x14ac:dyDescent="0.2">
      <c r="A227" s="440" t="s">
        <v>24</v>
      </c>
      <c r="B227" s="579" t="s">
        <v>24</v>
      </c>
      <c r="C227" s="443" t="s">
        <v>25</v>
      </c>
      <c r="D227" s="443" t="s">
        <v>26</v>
      </c>
      <c r="E227" s="443" t="s">
        <v>27</v>
      </c>
      <c r="F227" s="443" t="s">
        <v>28</v>
      </c>
      <c r="G227" s="443" t="s">
        <v>29</v>
      </c>
      <c r="H227" s="443" t="s">
        <v>30</v>
      </c>
      <c r="I227" s="443" t="s">
        <v>31</v>
      </c>
      <c r="J227" s="443" t="s">
        <v>32</v>
      </c>
      <c r="K227" s="443" t="s">
        <v>33</v>
      </c>
      <c r="L227" s="443" t="s">
        <v>34</v>
      </c>
      <c r="M227" s="443" t="s">
        <v>24</v>
      </c>
      <c r="N227" s="588" t="s">
        <v>24</v>
      </c>
      <c r="O227" s="443" t="s">
        <v>451</v>
      </c>
      <c r="P227" s="443" t="s">
        <v>34</v>
      </c>
      <c r="Q227" s="443" t="s">
        <v>452</v>
      </c>
      <c r="R227" s="443" t="s">
        <v>453</v>
      </c>
      <c r="S227" s="443" t="s">
        <v>454</v>
      </c>
      <c r="T227" s="443" t="s">
        <v>455</v>
      </c>
      <c r="U227" s="443" t="s">
        <v>456</v>
      </c>
      <c r="V227" s="443" t="s">
        <v>457</v>
      </c>
      <c r="W227" s="443" t="s">
        <v>458</v>
      </c>
      <c r="X227" s="443" t="s">
        <v>459</v>
      </c>
      <c r="Y227" s="443" t="s">
        <v>460</v>
      </c>
      <c r="Z227" s="443" t="s">
        <v>461</v>
      </c>
      <c r="AA227" s="443" t="s">
        <v>462</v>
      </c>
      <c r="AB227" s="443" t="s">
        <v>463</v>
      </c>
      <c r="AC227" s="444"/>
      <c r="AD227" s="444">
        <v>0</v>
      </c>
      <c r="AE227" s="443">
        <v>60</v>
      </c>
      <c r="AF227" s="443">
        <v>60</v>
      </c>
      <c r="AG227" s="445">
        <v>65</v>
      </c>
      <c r="AH227" s="445">
        <v>65</v>
      </c>
      <c r="AI227" s="445">
        <v>75</v>
      </c>
      <c r="AJ227" s="633">
        <v>75</v>
      </c>
    </row>
    <row r="228" spans="1:36" ht="13.5" thickBot="1" x14ac:dyDescent="0.25">
      <c r="A228" s="440" t="s">
        <v>24</v>
      </c>
      <c r="B228" s="579" t="s">
        <v>24</v>
      </c>
      <c r="C228" s="582" t="s">
        <v>24</v>
      </c>
      <c r="D228" s="582" t="s">
        <v>24</v>
      </c>
      <c r="E228" s="582" t="s">
        <v>24</v>
      </c>
      <c r="F228" s="582" t="s">
        <v>24</v>
      </c>
      <c r="G228" s="582" t="s">
        <v>24</v>
      </c>
      <c r="H228" s="582" t="s">
        <v>24</v>
      </c>
      <c r="I228" s="582" t="s">
        <v>24</v>
      </c>
      <c r="J228" s="582" t="s">
        <v>24</v>
      </c>
      <c r="K228" s="582" t="s">
        <v>24</v>
      </c>
      <c r="L228" s="582" t="s">
        <v>24</v>
      </c>
      <c r="M228" s="582" t="s">
        <v>24</v>
      </c>
      <c r="N228" s="589" t="s">
        <v>24</v>
      </c>
      <c r="O228" s="582" t="s">
        <v>34</v>
      </c>
      <c r="P228" s="582" t="s">
        <v>452</v>
      </c>
      <c r="Q228" s="582" t="s">
        <v>453</v>
      </c>
      <c r="R228" s="582" t="s">
        <v>454</v>
      </c>
      <c r="S228" s="582" t="s">
        <v>455</v>
      </c>
      <c r="T228" s="582" t="s">
        <v>456</v>
      </c>
      <c r="U228" s="582" t="s">
        <v>457</v>
      </c>
      <c r="V228" s="582" t="s">
        <v>458</v>
      </c>
      <c r="W228" s="582" t="s">
        <v>459</v>
      </c>
      <c r="X228" s="582" t="s">
        <v>460</v>
      </c>
      <c r="Y228" s="582" t="s">
        <v>461</v>
      </c>
      <c r="Z228" s="582" t="s">
        <v>462</v>
      </c>
      <c r="AA228" s="582" t="s">
        <v>463</v>
      </c>
      <c r="AB228" s="582" t="s">
        <v>464</v>
      </c>
      <c r="AC228" s="634"/>
      <c r="AD228" s="634"/>
      <c r="AE228" s="582"/>
      <c r="AF228" s="634"/>
      <c r="AG228" s="635" t="s">
        <v>35</v>
      </c>
      <c r="AH228" s="636" t="s">
        <v>35</v>
      </c>
      <c r="AI228" s="635" t="s">
        <v>36</v>
      </c>
      <c r="AJ228" s="637" t="s">
        <v>36</v>
      </c>
    </row>
    <row r="229" spans="1:36" ht="13.5" thickBot="1" x14ac:dyDescent="0.25">
      <c r="A229" s="440" t="s">
        <v>37</v>
      </c>
      <c r="B229" s="691">
        <v>0</v>
      </c>
      <c r="C229" s="567">
        <v>0</v>
      </c>
      <c r="D229" s="186">
        <v>0</v>
      </c>
      <c r="E229" s="186">
        <v>0</v>
      </c>
      <c r="F229" s="186">
        <v>0</v>
      </c>
      <c r="G229" s="186">
        <v>0</v>
      </c>
      <c r="H229" s="186">
        <v>0</v>
      </c>
      <c r="I229" s="186">
        <v>0</v>
      </c>
      <c r="J229" s="186">
        <v>0</v>
      </c>
      <c r="K229" s="186">
        <v>0</v>
      </c>
      <c r="L229" s="186">
        <v>0</v>
      </c>
      <c r="M229" s="656" t="s">
        <v>24</v>
      </c>
      <c r="N229" s="670" t="s">
        <v>37</v>
      </c>
      <c r="O229" s="646">
        <v>0</v>
      </c>
      <c r="P229" s="186">
        <v>0</v>
      </c>
      <c r="Q229" s="186">
        <v>0</v>
      </c>
      <c r="R229" s="186">
        <v>0</v>
      </c>
      <c r="S229" s="186">
        <v>0</v>
      </c>
      <c r="T229" s="186">
        <v>0</v>
      </c>
      <c r="U229" s="186">
        <v>0</v>
      </c>
      <c r="V229" s="186">
        <v>0</v>
      </c>
      <c r="W229" s="186">
        <v>0</v>
      </c>
      <c r="X229" s="186">
        <v>0</v>
      </c>
      <c r="Y229" s="186">
        <v>0</v>
      </c>
      <c r="Z229" s="186">
        <v>0</v>
      </c>
      <c r="AA229" s="186">
        <v>0</v>
      </c>
      <c r="AB229" s="186">
        <v>0</v>
      </c>
      <c r="AC229" s="187" t="s">
        <v>24</v>
      </c>
      <c r="AD229" s="187" t="s">
        <v>24</v>
      </c>
      <c r="AE229" s="186">
        <v>0</v>
      </c>
      <c r="AF229" s="187">
        <v>0</v>
      </c>
      <c r="AG229" s="186">
        <v>0</v>
      </c>
      <c r="AH229" s="187">
        <v>0</v>
      </c>
      <c r="AI229" s="186">
        <v>0</v>
      </c>
      <c r="AJ229" s="647">
        <v>0</v>
      </c>
    </row>
    <row r="230" spans="1:36" x14ac:dyDescent="0.2">
      <c r="A230" s="440" t="s">
        <v>38</v>
      </c>
      <c r="B230" s="646">
        <v>0</v>
      </c>
      <c r="C230" s="184">
        <v>0</v>
      </c>
      <c r="D230" s="184">
        <v>0</v>
      </c>
      <c r="E230" s="184">
        <v>0</v>
      </c>
      <c r="F230" s="184">
        <v>0</v>
      </c>
      <c r="G230" s="184">
        <v>0</v>
      </c>
      <c r="H230" s="184">
        <v>0</v>
      </c>
      <c r="I230" s="184">
        <v>0</v>
      </c>
      <c r="J230" s="184">
        <v>0</v>
      </c>
      <c r="K230" s="184">
        <v>0</v>
      </c>
      <c r="L230" s="184">
        <v>0</v>
      </c>
      <c r="M230" s="654" t="s">
        <v>24</v>
      </c>
      <c r="N230" s="670" t="s">
        <v>38</v>
      </c>
      <c r="O230" s="642">
        <v>0</v>
      </c>
      <c r="P230" s="184">
        <v>0</v>
      </c>
      <c r="Q230" s="184">
        <v>0</v>
      </c>
      <c r="R230" s="184">
        <v>0</v>
      </c>
      <c r="S230" s="184">
        <v>0</v>
      </c>
      <c r="T230" s="184">
        <v>0</v>
      </c>
      <c r="U230" s="184">
        <v>0</v>
      </c>
      <c r="V230" s="184">
        <v>0</v>
      </c>
      <c r="W230" s="184">
        <v>0</v>
      </c>
      <c r="X230" s="184">
        <v>0</v>
      </c>
      <c r="Y230" s="184">
        <v>0</v>
      </c>
      <c r="Z230" s="184">
        <v>0</v>
      </c>
      <c r="AA230" s="184">
        <v>0</v>
      </c>
      <c r="AB230" s="184">
        <v>0</v>
      </c>
      <c r="AC230" s="185" t="s">
        <v>24</v>
      </c>
      <c r="AD230" s="185" t="s">
        <v>24</v>
      </c>
      <c r="AE230" s="184">
        <v>0</v>
      </c>
      <c r="AF230" s="185">
        <v>0</v>
      </c>
      <c r="AG230" s="184">
        <v>0</v>
      </c>
      <c r="AH230" s="185">
        <v>0</v>
      </c>
      <c r="AI230" s="184">
        <v>0</v>
      </c>
      <c r="AJ230" s="643">
        <v>0</v>
      </c>
    </row>
    <row r="231" spans="1:36" x14ac:dyDescent="0.2">
      <c r="A231" s="440" t="s">
        <v>40</v>
      </c>
      <c r="B231" s="642">
        <v>0</v>
      </c>
      <c r="C231" s="184">
        <v>0</v>
      </c>
      <c r="D231" s="184">
        <v>0</v>
      </c>
      <c r="E231" s="184">
        <v>0</v>
      </c>
      <c r="F231" s="184">
        <v>0</v>
      </c>
      <c r="G231" s="184">
        <v>0</v>
      </c>
      <c r="H231" s="184">
        <v>0</v>
      </c>
      <c r="I231" s="184">
        <v>0</v>
      </c>
      <c r="J231" s="184">
        <v>0</v>
      </c>
      <c r="K231" s="184">
        <v>0</v>
      </c>
      <c r="L231" s="184">
        <v>0</v>
      </c>
      <c r="M231" s="654" t="s">
        <v>24</v>
      </c>
      <c r="N231" s="670" t="s">
        <v>40</v>
      </c>
      <c r="O231" s="642">
        <v>0</v>
      </c>
      <c r="P231" s="184">
        <v>0</v>
      </c>
      <c r="Q231" s="184">
        <v>0</v>
      </c>
      <c r="R231" s="184">
        <v>0</v>
      </c>
      <c r="S231" s="184">
        <v>0</v>
      </c>
      <c r="T231" s="184">
        <v>0</v>
      </c>
      <c r="U231" s="184">
        <v>0</v>
      </c>
      <c r="V231" s="184">
        <v>0</v>
      </c>
      <c r="W231" s="184">
        <v>0</v>
      </c>
      <c r="X231" s="184">
        <v>0</v>
      </c>
      <c r="Y231" s="184">
        <v>0</v>
      </c>
      <c r="Z231" s="184">
        <v>0</v>
      </c>
      <c r="AA231" s="184">
        <v>0</v>
      </c>
      <c r="AB231" s="184">
        <v>0</v>
      </c>
      <c r="AC231" s="185" t="s">
        <v>24</v>
      </c>
      <c r="AD231" s="185" t="s">
        <v>24</v>
      </c>
      <c r="AE231" s="184">
        <v>0</v>
      </c>
      <c r="AF231" s="185">
        <v>0</v>
      </c>
      <c r="AG231" s="184">
        <v>0</v>
      </c>
      <c r="AH231" s="185">
        <v>0</v>
      </c>
      <c r="AI231" s="184">
        <v>0</v>
      </c>
      <c r="AJ231" s="643">
        <v>0</v>
      </c>
    </row>
    <row r="232" spans="1:36" x14ac:dyDescent="0.2">
      <c r="A232" s="440" t="s">
        <v>42</v>
      </c>
      <c r="B232" s="642">
        <v>0</v>
      </c>
      <c r="C232" s="184">
        <v>0</v>
      </c>
      <c r="D232" s="184">
        <v>0</v>
      </c>
      <c r="E232" s="184">
        <v>0</v>
      </c>
      <c r="F232" s="184">
        <v>0</v>
      </c>
      <c r="G232" s="184">
        <v>0</v>
      </c>
      <c r="H232" s="184">
        <v>0</v>
      </c>
      <c r="I232" s="184">
        <v>0</v>
      </c>
      <c r="J232" s="184">
        <v>0</v>
      </c>
      <c r="K232" s="184">
        <v>0</v>
      </c>
      <c r="L232" s="184">
        <v>0</v>
      </c>
      <c r="M232" s="654" t="s">
        <v>24</v>
      </c>
      <c r="N232" s="670" t="s">
        <v>42</v>
      </c>
      <c r="O232" s="642">
        <v>0</v>
      </c>
      <c r="P232" s="184">
        <v>0</v>
      </c>
      <c r="Q232" s="184">
        <v>0</v>
      </c>
      <c r="R232" s="184">
        <v>0</v>
      </c>
      <c r="S232" s="184">
        <v>0</v>
      </c>
      <c r="T232" s="184">
        <v>0</v>
      </c>
      <c r="U232" s="184">
        <v>0</v>
      </c>
      <c r="V232" s="184">
        <v>0</v>
      </c>
      <c r="W232" s="184">
        <v>0</v>
      </c>
      <c r="X232" s="184">
        <v>0</v>
      </c>
      <c r="Y232" s="184">
        <v>0</v>
      </c>
      <c r="Z232" s="184">
        <v>0</v>
      </c>
      <c r="AA232" s="184">
        <v>0</v>
      </c>
      <c r="AB232" s="184">
        <v>0</v>
      </c>
      <c r="AC232" s="185" t="s">
        <v>24</v>
      </c>
      <c r="AD232" s="185" t="s">
        <v>24</v>
      </c>
      <c r="AE232" s="184">
        <v>0</v>
      </c>
      <c r="AF232" s="185">
        <v>0</v>
      </c>
      <c r="AG232" s="184">
        <v>0</v>
      </c>
      <c r="AH232" s="185">
        <v>0</v>
      </c>
      <c r="AI232" s="184">
        <v>0</v>
      </c>
      <c r="AJ232" s="643">
        <v>0</v>
      </c>
    </row>
    <row r="233" spans="1:36" x14ac:dyDescent="0.2">
      <c r="A233" s="440" t="s">
        <v>39</v>
      </c>
      <c r="B233" s="642">
        <v>0</v>
      </c>
      <c r="C233" s="184">
        <v>0</v>
      </c>
      <c r="D233" s="184">
        <v>0</v>
      </c>
      <c r="E233" s="184">
        <v>0</v>
      </c>
      <c r="F233" s="184">
        <v>0</v>
      </c>
      <c r="G233" s="184">
        <v>0</v>
      </c>
      <c r="H233" s="184">
        <v>0</v>
      </c>
      <c r="I233" s="184">
        <v>0</v>
      </c>
      <c r="J233" s="184">
        <v>0</v>
      </c>
      <c r="K233" s="184">
        <v>0</v>
      </c>
      <c r="L233" s="184">
        <v>0</v>
      </c>
      <c r="M233" s="654" t="s">
        <v>24</v>
      </c>
      <c r="N233" s="670" t="s">
        <v>39</v>
      </c>
      <c r="O233" s="642">
        <v>0</v>
      </c>
      <c r="P233" s="184">
        <v>0</v>
      </c>
      <c r="Q233" s="184">
        <v>0</v>
      </c>
      <c r="R233" s="184">
        <v>0</v>
      </c>
      <c r="S233" s="184">
        <v>0</v>
      </c>
      <c r="T233" s="184">
        <v>0</v>
      </c>
      <c r="U233" s="184">
        <v>0</v>
      </c>
      <c r="V233" s="184">
        <v>0</v>
      </c>
      <c r="W233" s="184">
        <v>0</v>
      </c>
      <c r="X233" s="184">
        <v>0</v>
      </c>
      <c r="Y233" s="184">
        <v>0</v>
      </c>
      <c r="Z233" s="184">
        <v>0</v>
      </c>
      <c r="AA233" s="184">
        <v>0</v>
      </c>
      <c r="AB233" s="184">
        <v>0</v>
      </c>
      <c r="AC233" s="185" t="s">
        <v>24</v>
      </c>
      <c r="AD233" s="185" t="s">
        <v>24</v>
      </c>
      <c r="AE233" s="184">
        <v>0</v>
      </c>
      <c r="AF233" s="185">
        <v>0</v>
      </c>
      <c r="AG233" s="184">
        <v>0</v>
      </c>
      <c r="AH233" s="185">
        <v>0</v>
      </c>
      <c r="AI233" s="184">
        <v>0</v>
      </c>
      <c r="AJ233" s="643">
        <v>0</v>
      </c>
    </row>
    <row r="234" spans="1:36" x14ac:dyDescent="0.2">
      <c r="A234" s="440" t="s">
        <v>45</v>
      </c>
      <c r="B234" s="642">
        <v>0</v>
      </c>
      <c r="C234" s="184">
        <v>0</v>
      </c>
      <c r="D234" s="184">
        <v>0</v>
      </c>
      <c r="E234" s="184">
        <v>0</v>
      </c>
      <c r="F234" s="184">
        <v>0</v>
      </c>
      <c r="G234" s="184">
        <v>0</v>
      </c>
      <c r="H234" s="184">
        <v>0</v>
      </c>
      <c r="I234" s="184">
        <v>0</v>
      </c>
      <c r="J234" s="184">
        <v>0</v>
      </c>
      <c r="K234" s="184">
        <v>0</v>
      </c>
      <c r="L234" s="184">
        <v>0</v>
      </c>
      <c r="M234" s="654" t="s">
        <v>24</v>
      </c>
      <c r="N234" s="670" t="s">
        <v>45</v>
      </c>
      <c r="O234" s="642">
        <v>0</v>
      </c>
      <c r="P234" s="184">
        <v>0</v>
      </c>
      <c r="Q234" s="184">
        <v>0</v>
      </c>
      <c r="R234" s="184">
        <v>0</v>
      </c>
      <c r="S234" s="184">
        <v>0</v>
      </c>
      <c r="T234" s="184">
        <v>0</v>
      </c>
      <c r="U234" s="184">
        <v>0</v>
      </c>
      <c r="V234" s="184">
        <v>0</v>
      </c>
      <c r="W234" s="184">
        <v>0</v>
      </c>
      <c r="X234" s="184">
        <v>0</v>
      </c>
      <c r="Y234" s="184">
        <v>0</v>
      </c>
      <c r="Z234" s="184">
        <v>0</v>
      </c>
      <c r="AA234" s="184">
        <v>0</v>
      </c>
      <c r="AB234" s="184">
        <v>0</v>
      </c>
      <c r="AC234" s="185" t="s">
        <v>24</v>
      </c>
      <c r="AD234" s="185" t="s">
        <v>24</v>
      </c>
      <c r="AE234" s="184">
        <v>0</v>
      </c>
      <c r="AF234" s="185">
        <v>0</v>
      </c>
      <c r="AG234" s="184">
        <v>0</v>
      </c>
      <c r="AH234" s="185">
        <v>0</v>
      </c>
      <c r="AI234" s="184">
        <v>0</v>
      </c>
      <c r="AJ234" s="643">
        <v>0</v>
      </c>
    </row>
    <row r="235" spans="1:36" x14ac:dyDescent="0.2">
      <c r="A235" s="440" t="s">
        <v>47</v>
      </c>
      <c r="B235" s="642">
        <v>0</v>
      </c>
      <c r="C235" s="184">
        <v>0</v>
      </c>
      <c r="D235" s="184">
        <v>0</v>
      </c>
      <c r="E235" s="184">
        <v>0</v>
      </c>
      <c r="F235" s="184">
        <v>0</v>
      </c>
      <c r="G235" s="184">
        <v>0</v>
      </c>
      <c r="H235" s="184">
        <v>0</v>
      </c>
      <c r="I235" s="184">
        <v>0</v>
      </c>
      <c r="J235" s="184">
        <v>0</v>
      </c>
      <c r="K235" s="184">
        <v>0</v>
      </c>
      <c r="L235" s="184">
        <v>0</v>
      </c>
      <c r="M235" s="654" t="s">
        <v>24</v>
      </c>
      <c r="N235" s="670" t="s">
        <v>47</v>
      </c>
      <c r="O235" s="642">
        <v>0</v>
      </c>
      <c r="P235" s="184">
        <v>0</v>
      </c>
      <c r="Q235" s="184">
        <v>0</v>
      </c>
      <c r="R235" s="184">
        <v>0</v>
      </c>
      <c r="S235" s="184">
        <v>0</v>
      </c>
      <c r="T235" s="184">
        <v>0</v>
      </c>
      <c r="U235" s="184">
        <v>0</v>
      </c>
      <c r="V235" s="184">
        <v>0</v>
      </c>
      <c r="W235" s="184">
        <v>0</v>
      </c>
      <c r="X235" s="184">
        <v>0</v>
      </c>
      <c r="Y235" s="184">
        <v>0</v>
      </c>
      <c r="Z235" s="184">
        <v>0</v>
      </c>
      <c r="AA235" s="184">
        <v>0</v>
      </c>
      <c r="AB235" s="184">
        <v>0</v>
      </c>
      <c r="AC235" s="185" t="s">
        <v>24</v>
      </c>
      <c r="AD235" s="185" t="s">
        <v>24</v>
      </c>
      <c r="AE235" s="184">
        <v>0</v>
      </c>
      <c r="AF235" s="185">
        <v>0</v>
      </c>
      <c r="AG235" s="184">
        <v>0</v>
      </c>
      <c r="AH235" s="185">
        <v>0</v>
      </c>
      <c r="AI235" s="184">
        <v>0</v>
      </c>
      <c r="AJ235" s="643">
        <v>0</v>
      </c>
    </row>
    <row r="236" spans="1:36" x14ac:dyDescent="0.2">
      <c r="A236" s="440" t="s">
        <v>49</v>
      </c>
      <c r="B236" s="642">
        <v>0</v>
      </c>
      <c r="C236" s="184">
        <v>0</v>
      </c>
      <c r="D236" s="184">
        <v>0</v>
      </c>
      <c r="E236" s="184">
        <v>0</v>
      </c>
      <c r="F236" s="184">
        <v>0</v>
      </c>
      <c r="G236" s="184">
        <v>0</v>
      </c>
      <c r="H236" s="184">
        <v>0</v>
      </c>
      <c r="I236" s="184">
        <v>0</v>
      </c>
      <c r="J236" s="184">
        <v>0</v>
      </c>
      <c r="K236" s="184">
        <v>0</v>
      </c>
      <c r="L236" s="184">
        <v>0</v>
      </c>
      <c r="M236" s="654" t="s">
        <v>24</v>
      </c>
      <c r="N236" s="670" t="s">
        <v>49</v>
      </c>
      <c r="O236" s="642">
        <v>0</v>
      </c>
      <c r="P236" s="184">
        <v>0</v>
      </c>
      <c r="Q236" s="184">
        <v>0</v>
      </c>
      <c r="R236" s="184">
        <v>0</v>
      </c>
      <c r="S236" s="184">
        <v>0</v>
      </c>
      <c r="T236" s="184">
        <v>0</v>
      </c>
      <c r="U236" s="184">
        <v>0</v>
      </c>
      <c r="V236" s="184">
        <v>0</v>
      </c>
      <c r="W236" s="184">
        <v>0</v>
      </c>
      <c r="X236" s="184">
        <v>0</v>
      </c>
      <c r="Y236" s="184">
        <v>0</v>
      </c>
      <c r="Z236" s="184">
        <v>0</v>
      </c>
      <c r="AA236" s="184">
        <v>0</v>
      </c>
      <c r="AB236" s="184">
        <v>0</v>
      </c>
      <c r="AC236" s="185" t="s">
        <v>24</v>
      </c>
      <c r="AD236" s="185" t="s">
        <v>24</v>
      </c>
      <c r="AE236" s="184">
        <v>0</v>
      </c>
      <c r="AF236" s="185">
        <v>0</v>
      </c>
      <c r="AG236" s="184">
        <v>0</v>
      </c>
      <c r="AH236" s="185">
        <v>0</v>
      </c>
      <c r="AI236" s="184">
        <v>0</v>
      </c>
      <c r="AJ236" s="643">
        <v>0</v>
      </c>
    </row>
    <row r="237" spans="1:36" x14ac:dyDescent="0.2">
      <c r="A237" s="440" t="s">
        <v>41</v>
      </c>
      <c r="B237" s="642">
        <v>0</v>
      </c>
      <c r="C237" s="184">
        <v>0</v>
      </c>
      <c r="D237" s="184">
        <v>0</v>
      </c>
      <c r="E237" s="184">
        <v>0</v>
      </c>
      <c r="F237" s="184">
        <v>0</v>
      </c>
      <c r="G237" s="184">
        <v>0</v>
      </c>
      <c r="H237" s="184">
        <v>0</v>
      </c>
      <c r="I237" s="184">
        <v>0</v>
      </c>
      <c r="J237" s="184">
        <v>0</v>
      </c>
      <c r="K237" s="184">
        <v>0</v>
      </c>
      <c r="L237" s="184">
        <v>0</v>
      </c>
      <c r="M237" s="654" t="s">
        <v>24</v>
      </c>
      <c r="N237" s="670" t="s">
        <v>41</v>
      </c>
      <c r="O237" s="642">
        <v>0</v>
      </c>
      <c r="P237" s="184">
        <v>0</v>
      </c>
      <c r="Q237" s="184">
        <v>0</v>
      </c>
      <c r="R237" s="184">
        <v>0</v>
      </c>
      <c r="S237" s="184">
        <v>0</v>
      </c>
      <c r="T237" s="184">
        <v>0</v>
      </c>
      <c r="U237" s="184">
        <v>0</v>
      </c>
      <c r="V237" s="184">
        <v>0</v>
      </c>
      <c r="W237" s="184">
        <v>0</v>
      </c>
      <c r="X237" s="184">
        <v>0</v>
      </c>
      <c r="Y237" s="184">
        <v>0</v>
      </c>
      <c r="Z237" s="184">
        <v>0</v>
      </c>
      <c r="AA237" s="184">
        <v>0</v>
      </c>
      <c r="AB237" s="184">
        <v>0</v>
      </c>
      <c r="AC237" s="185" t="s">
        <v>24</v>
      </c>
      <c r="AD237" s="185" t="s">
        <v>24</v>
      </c>
      <c r="AE237" s="184">
        <v>0</v>
      </c>
      <c r="AF237" s="185">
        <v>0</v>
      </c>
      <c r="AG237" s="184">
        <v>0</v>
      </c>
      <c r="AH237" s="185">
        <v>0</v>
      </c>
      <c r="AI237" s="184">
        <v>0</v>
      </c>
      <c r="AJ237" s="643">
        <v>0</v>
      </c>
    </row>
    <row r="238" spans="1:36" x14ac:dyDescent="0.2">
      <c r="A238" s="440" t="s">
        <v>52</v>
      </c>
      <c r="B238" s="642">
        <v>2</v>
      </c>
      <c r="C238" s="184">
        <v>0</v>
      </c>
      <c r="D238" s="184">
        <v>2</v>
      </c>
      <c r="E238" s="184">
        <v>0</v>
      </c>
      <c r="F238" s="184">
        <v>0</v>
      </c>
      <c r="G238" s="184">
        <v>0</v>
      </c>
      <c r="H238" s="184">
        <v>0</v>
      </c>
      <c r="I238" s="184">
        <v>0</v>
      </c>
      <c r="J238" s="184">
        <v>0</v>
      </c>
      <c r="K238" s="184">
        <v>0</v>
      </c>
      <c r="L238" s="184">
        <v>0</v>
      </c>
      <c r="M238" s="654" t="s">
        <v>24</v>
      </c>
      <c r="N238" s="670" t="s">
        <v>52</v>
      </c>
      <c r="O238" s="642">
        <v>0</v>
      </c>
      <c r="P238" s="184">
        <v>0</v>
      </c>
      <c r="Q238" s="184">
        <v>0</v>
      </c>
      <c r="R238" s="184">
        <v>0</v>
      </c>
      <c r="S238" s="184">
        <v>0</v>
      </c>
      <c r="T238" s="184">
        <v>0</v>
      </c>
      <c r="U238" s="184">
        <v>2</v>
      </c>
      <c r="V238" s="184">
        <v>0</v>
      </c>
      <c r="W238" s="184">
        <v>0</v>
      </c>
      <c r="X238" s="184">
        <v>0</v>
      </c>
      <c r="Y238" s="184">
        <v>0</v>
      </c>
      <c r="Z238" s="184">
        <v>0</v>
      </c>
      <c r="AA238" s="184">
        <v>0</v>
      </c>
      <c r="AB238" s="184">
        <v>0</v>
      </c>
      <c r="AC238" s="185">
        <v>37.4</v>
      </c>
      <c r="AD238" s="185" t="s">
        <v>24</v>
      </c>
      <c r="AE238" s="184">
        <v>0</v>
      </c>
      <c r="AF238" s="185">
        <v>0</v>
      </c>
      <c r="AG238" s="184">
        <v>0</v>
      </c>
      <c r="AH238" s="185">
        <v>0</v>
      </c>
      <c r="AI238" s="184">
        <v>0</v>
      </c>
      <c r="AJ238" s="643">
        <v>0</v>
      </c>
    </row>
    <row r="239" spans="1:36" x14ac:dyDescent="0.2">
      <c r="A239" s="440" t="s">
        <v>54</v>
      </c>
      <c r="B239" s="642">
        <v>0</v>
      </c>
      <c r="C239" s="184">
        <v>0</v>
      </c>
      <c r="D239" s="184">
        <v>0</v>
      </c>
      <c r="E239" s="184">
        <v>0</v>
      </c>
      <c r="F239" s="184">
        <v>0</v>
      </c>
      <c r="G239" s="184">
        <v>0</v>
      </c>
      <c r="H239" s="184">
        <v>0</v>
      </c>
      <c r="I239" s="184">
        <v>0</v>
      </c>
      <c r="J239" s="184">
        <v>0</v>
      </c>
      <c r="K239" s="184">
        <v>0</v>
      </c>
      <c r="L239" s="184">
        <v>0</v>
      </c>
      <c r="M239" s="654" t="s">
        <v>24</v>
      </c>
      <c r="N239" s="670" t="s">
        <v>54</v>
      </c>
      <c r="O239" s="642">
        <v>0</v>
      </c>
      <c r="P239" s="184">
        <v>0</v>
      </c>
      <c r="Q239" s="184">
        <v>0</v>
      </c>
      <c r="R239" s="184">
        <v>0</v>
      </c>
      <c r="S239" s="184">
        <v>0</v>
      </c>
      <c r="T239" s="184">
        <v>0</v>
      </c>
      <c r="U239" s="184">
        <v>0</v>
      </c>
      <c r="V239" s="184">
        <v>0</v>
      </c>
      <c r="W239" s="184">
        <v>0</v>
      </c>
      <c r="X239" s="184">
        <v>0</v>
      </c>
      <c r="Y239" s="184">
        <v>0</v>
      </c>
      <c r="Z239" s="184">
        <v>0</v>
      </c>
      <c r="AA239" s="184">
        <v>0</v>
      </c>
      <c r="AB239" s="184">
        <v>0</v>
      </c>
      <c r="AC239" s="185" t="s">
        <v>24</v>
      </c>
      <c r="AD239" s="185" t="s">
        <v>24</v>
      </c>
      <c r="AE239" s="184">
        <v>0</v>
      </c>
      <c r="AF239" s="185">
        <v>0</v>
      </c>
      <c r="AG239" s="184">
        <v>0</v>
      </c>
      <c r="AH239" s="185">
        <v>0</v>
      </c>
      <c r="AI239" s="184">
        <v>0</v>
      </c>
      <c r="AJ239" s="643">
        <v>0</v>
      </c>
    </row>
    <row r="240" spans="1:36" x14ac:dyDescent="0.2">
      <c r="A240" s="440" t="s">
        <v>56</v>
      </c>
      <c r="B240" s="642">
        <v>0</v>
      </c>
      <c r="C240" s="184">
        <v>0</v>
      </c>
      <c r="D240" s="184">
        <v>0</v>
      </c>
      <c r="E240" s="184">
        <v>0</v>
      </c>
      <c r="F240" s="184">
        <v>0</v>
      </c>
      <c r="G240" s="184">
        <v>0</v>
      </c>
      <c r="H240" s="184">
        <v>0</v>
      </c>
      <c r="I240" s="184">
        <v>0</v>
      </c>
      <c r="J240" s="184">
        <v>0</v>
      </c>
      <c r="K240" s="184">
        <v>0</v>
      </c>
      <c r="L240" s="184">
        <v>0</v>
      </c>
      <c r="M240" s="654" t="s">
        <v>24</v>
      </c>
      <c r="N240" s="670" t="s">
        <v>56</v>
      </c>
      <c r="O240" s="642">
        <v>0</v>
      </c>
      <c r="P240" s="184">
        <v>0</v>
      </c>
      <c r="Q240" s="184">
        <v>0</v>
      </c>
      <c r="R240" s="184">
        <v>0</v>
      </c>
      <c r="S240" s="184">
        <v>0</v>
      </c>
      <c r="T240" s="184">
        <v>0</v>
      </c>
      <c r="U240" s="184">
        <v>0</v>
      </c>
      <c r="V240" s="184">
        <v>0</v>
      </c>
      <c r="W240" s="184">
        <v>0</v>
      </c>
      <c r="X240" s="184">
        <v>0</v>
      </c>
      <c r="Y240" s="184">
        <v>0</v>
      </c>
      <c r="Z240" s="184">
        <v>0</v>
      </c>
      <c r="AA240" s="184">
        <v>0</v>
      </c>
      <c r="AB240" s="184">
        <v>0</v>
      </c>
      <c r="AC240" s="185" t="s">
        <v>24</v>
      </c>
      <c r="AD240" s="185" t="s">
        <v>24</v>
      </c>
      <c r="AE240" s="184">
        <v>0</v>
      </c>
      <c r="AF240" s="185">
        <v>0</v>
      </c>
      <c r="AG240" s="184">
        <v>0</v>
      </c>
      <c r="AH240" s="185">
        <v>0</v>
      </c>
      <c r="AI240" s="184">
        <v>0</v>
      </c>
      <c r="AJ240" s="643">
        <v>0</v>
      </c>
    </row>
    <row r="241" spans="1:36" x14ac:dyDescent="0.2">
      <c r="A241" s="440" t="s">
        <v>43</v>
      </c>
      <c r="B241" s="642">
        <v>0</v>
      </c>
      <c r="C241" s="184">
        <v>0</v>
      </c>
      <c r="D241" s="184">
        <v>0</v>
      </c>
      <c r="E241" s="184">
        <v>0</v>
      </c>
      <c r="F241" s="184">
        <v>0</v>
      </c>
      <c r="G241" s="184">
        <v>0</v>
      </c>
      <c r="H241" s="184">
        <v>0</v>
      </c>
      <c r="I241" s="184">
        <v>0</v>
      </c>
      <c r="J241" s="184">
        <v>0</v>
      </c>
      <c r="K241" s="184">
        <v>0</v>
      </c>
      <c r="L241" s="184">
        <v>0</v>
      </c>
      <c r="M241" s="654" t="s">
        <v>24</v>
      </c>
      <c r="N241" s="670" t="s">
        <v>43</v>
      </c>
      <c r="O241" s="642">
        <v>0</v>
      </c>
      <c r="P241" s="184">
        <v>0</v>
      </c>
      <c r="Q241" s="184">
        <v>0</v>
      </c>
      <c r="R241" s="184">
        <v>0</v>
      </c>
      <c r="S241" s="184">
        <v>0</v>
      </c>
      <c r="T241" s="184">
        <v>0</v>
      </c>
      <c r="U241" s="184">
        <v>0</v>
      </c>
      <c r="V241" s="184">
        <v>0</v>
      </c>
      <c r="W241" s="184">
        <v>0</v>
      </c>
      <c r="X241" s="184">
        <v>0</v>
      </c>
      <c r="Y241" s="184">
        <v>0</v>
      </c>
      <c r="Z241" s="184">
        <v>0</v>
      </c>
      <c r="AA241" s="184">
        <v>0</v>
      </c>
      <c r="AB241" s="184">
        <v>0</v>
      </c>
      <c r="AC241" s="185" t="s">
        <v>24</v>
      </c>
      <c r="AD241" s="185" t="s">
        <v>24</v>
      </c>
      <c r="AE241" s="184">
        <v>0</v>
      </c>
      <c r="AF241" s="185">
        <v>0</v>
      </c>
      <c r="AG241" s="184">
        <v>0</v>
      </c>
      <c r="AH241" s="185">
        <v>0</v>
      </c>
      <c r="AI241" s="184">
        <v>0</v>
      </c>
      <c r="AJ241" s="643">
        <v>0</v>
      </c>
    </row>
    <row r="242" spans="1:36" x14ac:dyDescent="0.2">
      <c r="A242" s="440" t="s">
        <v>59</v>
      </c>
      <c r="B242" s="642">
        <v>1</v>
      </c>
      <c r="C242" s="184">
        <v>0</v>
      </c>
      <c r="D242" s="184">
        <v>1</v>
      </c>
      <c r="E242" s="184">
        <v>0</v>
      </c>
      <c r="F242" s="184">
        <v>0</v>
      </c>
      <c r="G242" s="184">
        <v>0</v>
      </c>
      <c r="H242" s="184">
        <v>0</v>
      </c>
      <c r="I242" s="184">
        <v>0</v>
      </c>
      <c r="J242" s="184">
        <v>0</v>
      </c>
      <c r="K242" s="184">
        <v>0</v>
      </c>
      <c r="L242" s="184">
        <v>0</v>
      </c>
      <c r="M242" s="654" t="s">
        <v>24</v>
      </c>
      <c r="N242" s="670" t="s">
        <v>59</v>
      </c>
      <c r="O242" s="642">
        <v>0</v>
      </c>
      <c r="P242" s="184">
        <v>0</v>
      </c>
      <c r="Q242" s="184">
        <v>0</v>
      </c>
      <c r="R242" s="184">
        <v>0</v>
      </c>
      <c r="S242" s="184">
        <v>0</v>
      </c>
      <c r="T242" s="184">
        <v>0</v>
      </c>
      <c r="U242" s="184">
        <v>0</v>
      </c>
      <c r="V242" s="184">
        <v>1</v>
      </c>
      <c r="W242" s="184">
        <v>0</v>
      </c>
      <c r="X242" s="184">
        <v>0</v>
      </c>
      <c r="Y242" s="184">
        <v>0</v>
      </c>
      <c r="Z242" s="184">
        <v>0</v>
      </c>
      <c r="AA242" s="184">
        <v>0</v>
      </c>
      <c r="AB242" s="184">
        <v>0</v>
      </c>
      <c r="AC242" s="185">
        <v>44.6</v>
      </c>
      <c r="AD242" s="185" t="s">
        <v>24</v>
      </c>
      <c r="AE242" s="184">
        <v>0</v>
      </c>
      <c r="AF242" s="185">
        <v>0</v>
      </c>
      <c r="AG242" s="184">
        <v>0</v>
      </c>
      <c r="AH242" s="185">
        <v>0</v>
      </c>
      <c r="AI242" s="184">
        <v>0</v>
      </c>
      <c r="AJ242" s="643">
        <v>0</v>
      </c>
    </row>
    <row r="243" spans="1:36" x14ac:dyDescent="0.2">
      <c r="A243" s="440" t="s">
        <v>61</v>
      </c>
      <c r="B243" s="642">
        <v>0</v>
      </c>
      <c r="C243" s="184">
        <v>0</v>
      </c>
      <c r="D243" s="184">
        <v>0</v>
      </c>
      <c r="E243" s="184">
        <v>0</v>
      </c>
      <c r="F243" s="184">
        <v>0</v>
      </c>
      <c r="G243" s="184">
        <v>0</v>
      </c>
      <c r="H243" s="184">
        <v>0</v>
      </c>
      <c r="I243" s="184">
        <v>0</v>
      </c>
      <c r="J243" s="184">
        <v>0</v>
      </c>
      <c r="K243" s="184">
        <v>0</v>
      </c>
      <c r="L243" s="184">
        <v>0</v>
      </c>
      <c r="M243" s="654" t="s">
        <v>24</v>
      </c>
      <c r="N243" s="670" t="s">
        <v>61</v>
      </c>
      <c r="O243" s="642">
        <v>0</v>
      </c>
      <c r="P243" s="184">
        <v>0</v>
      </c>
      <c r="Q243" s="184">
        <v>0</v>
      </c>
      <c r="R243" s="184">
        <v>0</v>
      </c>
      <c r="S243" s="184">
        <v>0</v>
      </c>
      <c r="T243" s="184">
        <v>0</v>
      </c>
      <c r="U243" s="184">
        <v>0</v>
      </c>
      <c r="V243" s="184">
        <v>0</v>
      </c>
      <c r="W243" s="184">
        <v>0</v>
      </c>
      <c r="X243" s="184">
        <v>0</v>
      </c>
      <c r="Y243" s="184">
        <v>0</v>
      </c>
      <c r="Z243" s="184">
        <v>0</v>
      </c>
      <c r="AA243" s="184">
        <v>0</v>
      </c>
      <c r="AB243" s="184">
        <v>0</v>
      </c>
      <c r="AC243" s="185" t="s">
        <v>24</v>
      </c>
      <c r="AD243" s="185" t="s">
        <v>24</v>
      </c>
      <c r="AE243" s="184">
        <v>0</v>
      </c>
      <c r="AF243" s="185">
        <v>0</v>
      </c>
      <c r="AG243" s="184">
        <v>0</v>
      </c>
      <c r="AH243" s="185">
        <v>0</v>
      </c>
      <c r="AI243" s="184">
        <v>0</v>
      </c>
      <c r="AJ243" s="643">
        <v>0</v>
      </c>
    </row>
    <row r="244" spans="1:36" x14ac:dyDescent="0.2">
      <c r="A244" s="440" t="s">
        <v>63</v>
      </c>
      <c r="B244" s="642">
        <v>0</v>
      </c>
      <c r="C244" s="184">
        <v>0</v>
      </c>
      <c r="D244" s="184">
        <v>0</v>
      </c>
      <c r="E244" s="184">
        <v>0</v>
      </c>
      <c r="F244" s="184">
        <v>0</v>
      </c>
      <c r="G244" s="184">
        <v>0</v>
      </c>
      <c r="H244" s="184">
        <v>0</v>
      </c>
      <c r="I244" s="184">
        <v>0</v>
      </c>
      <c r="J244" s="184">
        <v>0</v>
      </c>
      <c r="K244" s="184">
        <v>0</v>
      </c>
      <c r="L244" s="184">
        <v>0</v>
      </c>
      <c r="M244" s="654" t="s">
        <v>24</v>
      </c>
      <c r="N244" s="670" t="s">
        <v>63</v>
      </c>
      <c r="O244" s="642">
        <v>0</v>
      </c>
      <c r="P244" s="184">
        <v>0</v>
      </c>
      <c r="Q244" s="184">
        <v>0</v>
      </c>
      <c r="R244" s="184">
        <v>0</v>
      </c>
      <c r="S244" s="184">
        <v>0</v>
      </c>
      <c r="T244" s="184">
        <v>0</v>
      </c>
      <c r="U244" s="184">
        <v>0</v>
      </c>
      <c r="V244" s="184">
        <v>0</v>
      </c>
      <c r="W244" s="184">
        <v>0</v>
      </c>
      <c r="X244" s="184">
        <v>0</v>
      </c>
      <c r="Y244" s="184">
        <v>0</v>
      </c>
      <c r="Z244" s="184">
        <v>0</v>
      </c>
      <c r="AA244" s="184">
        <v>0</v>
      </c>
      <c r="AB244" s="184">
        <v>0</v>
      </c>
      <c r="AC244" s="185" t="s">
        <v>24</v>
      </c>
      <c r="AD244" s="185" t="s">
        <v>24</v>
      </c>
      <c r="AE244" s="184">
        <v>0</v>
      </c>
      <c r="AF244" s="185">
        <v>0</v>
      </c>
      <c r="AG244" s="184">
        <v>0</v>
      </c>
      <c r="AH244" s="185">
        <v>0</v>
      </c>
      <c r="AI244" s="184">
        <v>0</v>
      </c>
      <c r="AJ244" s="643">
        <v>0</v>
      </c>
    </row>
    <row r="245" spans="1:36" x14ac:dyDescent="0.2">
      <c r="A245" s="440" t="s">
        <v>44</v>
      </c>
      <c r="B245" s="642">
        <v>0</v>
      </c>
      <c r="C245" s="184">
        <v>0</v>
      </c>
      <c r="D245" s="184">
        <v>0</v>
      </c>
      <c r="E245" s="184">
        <v>0</v>
      </c>
      <c r="F245" s="184">
        <v>0</v>
      </c>
      <c r="G245" s="184">
        <v>0</v>
      </c>
      <c r="H245" s="184">
        <v>0</v>
      </c>
      <c r="I245" s="184">
        <v>0</v>
      </c>
      <c r="J245" s="184">
        <v>0</v>
      </c>
      <c r="K245" s="184">
        <v>0</v>
      </c>
      <c r="L245" s="184">
        <v>0</v>
      </c>
      <c r="M245" s="654" t="s">
        <v>24</v>
      </c>
      <c r="N245" s="670" t="s">
        <v>44</v>
      </c>
      <c r="O245" s="642">
        <v>0</v>
      </c>
      <c r="P245" s="184">
        <v>0</v>
      </c>
      <c r="Q245" s="184">
        <v>0</v>
      </c>
      <c r="R245" s="184">
        <v>0</v>
      </c>
      <c r="S245" s="184">
        <v>0</v>
      </c>
      <c r="T245" s="184">
        <v>0</v>
      </c>
      <c r="U245" s="184">
        <v>0</v>
      </c>
      <c r="V245" s="184">
        <v>0</v>
      </c>
      <c r="W245" s="184">
        <v>0</v>
      </c>
      <c r="X245" s="184">
        <v>0</v>
      </c>
      <c r="Y245" s="184">
        <v>0</v>
      </c>
      <c r="Z245" s="184">
        <v>0</v>
      </c>
      <c r="AA245" s="184">
        <v>0</v>
      </c>
      <c r="AB245" s="184">
        <v>0</v>
      </c>
      <c r="AC245" s="185" t="s">
        <v>24</v>
      </c>
      <c r="AD245" s="185" t="s">
        <v>24</v>
      </c>
      <c r="AE245" s="184">
        <v>0</v>
      </c>
      <c r="AF245" s="185">
        <v>0</v>
      </c>
      <c r="AG245" s="184">
        <v>0</v>
      </c>
      <c r="AH245" s="185">
        <v>0</v>
      </c>
      <c r="AI245" s="184">
        <v>0</v>
      </c>
      <c r="AJ245" s="643">
        <v>0</v>
      </c>
    </row>
    <row r="246" spans="1:36" x14ac:dyDescent="0.2">
      <c r="A246" s="440" t="s">
        <v>66</v>
      </c>
      <c r="B246" s="642">
        <v>0</v>
      </c>
      <c r="C246" s="184">
        <v>0</v>
      </c>
      <c r="D246" s="184">
        <v>0</v>
      </c>
      <c r="E246" s="184">
        <v>0</v>
      </c>
      <c r="F246" s="184">
        <v>0</v>
      </c>
      <c r="G246" s="184">
        <v>0</v>
      </c>
      <c r="H246" s="184">
        <v>0</v>
      </c>
      <c r="I246" s="184">
        <v>0</v>
      </c>
      <c r="J246" s="184">
        <v>0</v>
      </c>
      <c r="K246" s="184">
        <v>0</v>
      </c>
      <c r="L246" s="184">
        <v>0</v>
      </c>
      <c r="M246" s="654" t="s">
        <v>24</v>
      </c>
      <c r="N246" s="670" t="s">
        <v>66</v>
      </c>
      <c r="O246" s="642">
        <v>0</v>
      </c>
      <c r="P246" s="184">
        <v>0</v>
      </c>
      <c r="Q246" s="184">
        <v>0</v>
      </c>
      <c r="R246" s="184">
        <v>0</v>
      </c>
      <c r="S246" s="184">
        <v>0</v>
      </c>
      <c r="T246" s="184">
        <v>0</v>
      </c>
      <c r="U246" s="184">
        <v>0</v>
      </c>
      <c r="V246" s="184">
        <v>0</v>
      </c>
      <c r="W246" s="184">
        <v>0</v>
      </c>
      <c r="X246" s="184">
        <v>0</v>
      </c>
      <c r="Y246" s="184">
        <v>0</v>
      </c>
      <c r="Z246" s="184">
        <v>0</v>
      </c>
      <c r="AA246" s="184">
        <v>0</v>
      </c>
      <c r="AB246" s="184">
        <v>0</v>
      </c>
      <c r="AC246" s="185" t="s">
        <v>24</v>
      </c>
      <c r="AD246" s="185" t="s">
        <v>24</v>
      </c>
      <c r="AE246" s="184">
        <v>0</v>
      </c>
      <c r="AF246" s="185">
        <v>0</v>
      </c>
      <c r="AG246" s="184">
        <v>0</v>
      </c>
      <c r="AH246" s="185">
        <v>0</v>
      </c>
      <c r="AI246" s="184">
        <v>0</v>
      </c>
      <c r="AJ246" s="643">
        <v>0</v>
      </c>
    </row>
    <row r="247" spans="1:36" x14ac:dyDescent="0.2">
      <c r="A247" s="440" t="s">
        <v>68</v>
      </c>
      <c r="B247" s="642">
        <v>0</v>
      </c>
      <c r="C247" s="184">
        <v>0</v>
      </c>
      <c r="D247" s="184">
        <v>0</v>
      </c>
      <c r="E247" s="184">
        <v>0</v>
      </c>
      <c r="F247" s="184">
        <v>0</v>
      </c>
      <c r="G247" s="184">
        <v>0</v>
      </c>
      <c r="H247" s="184">
        <v>0</v>
      </c>
      <c r="I247" s="184">
        <v>0</v>
      </c>
      <c r="J247" s="184">
        <v>0</v>
      </c>
      <c r="K247" s="184">
        <v>0</v>
      </c>
      <c r="L247" s="184">
        <v>0</v>
      </c>
      <c r="M247" s="654" t="s">
        <v>24</v>
      </c>
      <c r="N247" s="670" t="s">
        <v>68</v>
      </c>
      <c r="O247" s="642">
        <v>0</v>
      </c>
      <c r="P247" s="184">
        <v>0</v>
      </c>
      <c r="Q247" s="184">
        <v>0</v>
      </c>
      <c r="R247" s="184">
        <v>0</v>
      </c>
      <c r="S247" s="184">
        <v>0</v>
      </c>
      <c r="T247" s="184">
        <v>0</v>
      </c>
      <c r="U247" s="184">
        <v>0</v>
      </c>
      <c r="V247" s="184">
        <v>0</v>
      </c>
      <c r="W247" s="184">
        <v>0</v>
      </c>
      <c r="X247" s="184">
        <v>0</v>
      </c>
      <c r="Y247" s="184">
        <v>0</v>
      </c>
      <c r="Z247" s="184">
        <v>0</v>
      </c>
      <c r="AA247" s="184">
        <v>0</v>
      </c>
      <c r="AB247" s="184">
        <v>0</v>
      </c>
      <c r="AC247" s="185" t="s">
        <v>24</v>
      </c>
      <c r="AD247" s="185" t="s">
        <v>24</v>
      </c>
      <c r="AE247" s="184">
        <v>0</v>
      </c>
      <c r="AF247" s="185">
        <v>0</v>
      </c>
      <c r="AG247" s="184">
        <v>0</v>
      </c>
      <c r="AH247" s="185">
        <v>0</v>
      </c>
      <c r="AI247" s="184">
        <v>0</v>
      </c>
      <c r="AJ247" s="643">
        <v>0</v>
      </c>
    </row>
    <row r="248" spans="1:36" x14ac:dyDescent="0.2">
      <c r="A248" s="440" t="s">
        <v>70</v>
      </c>
      <c r="B248" s="642">
        <v>1</v>
      </c>
      <c r="C248" s="184">
        <v>0</v>
      </c>
      <c r="D248" s="184">
        <v>1</v>
      </c>
      <c r="E248" s="184">
        <v>0</v>
      </c>
      <c r="F248" s="184">
        <v>0</v>
      </c>
      <c r="G248" s="184">
        <v>0</v>
      </c>
      <c r="H248" s="184">
        <v>0</v>
      </c>
      <c r="I248" s="184">
        <v>0</v>
      </c>
      <c r="J248" s="184">
        <v>0</v>
      </c>
      <c r="K248" s="184">
        <v>0</v>
      </c>
      <c r="L248" s="184">
        <v>0</v>
      </c>
      <c r="M248" s="654" t="s">
        <v>24</v>
      </c>
      <c r="N248" s="670" t="s">
        <v>70</v>
      </c>
      <c r="O248" s="642">
        <v>0</v>
      </c>
      <c r="P248" s="184">
        <v>0</v>
      </c>
      <c r="Q248" s="184">
        <v>0</v>
      </c>
      <c r="R248" s="184">
        <v>0</v>
      </c>
      <c r="S248" s="184">
        <v>0</v>
      </c>
      <c r="T248" s="184">
        <v>0</v>
      </c>
      <c r="U248" s="184">
        <v>0</v>
      </c>
      <c r="V248" s="184">
        <v>1</v>
      </c>
      <c r="W248" s="184">
        <v>0</v>
      </c>
      <c r="X248" s="184">
        <v>0</v>
      </c>
      <c r="Y248" s="184">
        <v>0</v>
      </c>
      <c r="Z248" s="184">
        <v>0</v>
      </c>
      <c r="AA248" s="184">
        <v>0</v>
      </c>
      <c r="AB248" s="184">
        <v>0</v>
      </c>
      <c r="AC248" s="185">
        <v>42.6</v>
      </c>
      <c r="AD248" s="185" t="s">
        <v>24</v>
      </c>
      <c r="AE248" s="184">
        <v>0</v>
      </c>
      <c r="AF248" s="185">
        <v>0</v>
      </c>
      <c r="AG248" s="184">
        <v>0</v>
      </c>
      <c r="AH248" s="185">
        <v>0</v>
      </c>
      <c r="AI248" s="184">
        <v>0</v>
      </c>
      <c r="AJ248" s="643">
        <v>0</v>
      </c>
    </row>
    <row r="249" spans="1:36" x14ac:dyDescent="0.2">
      <c r="A249" s="440" t="s">
        <v>46</v>
      </c>
      <c r="B249" s="642">
        <v>0</v>
      </c>
      <c r="C249" s="184">
        <v>0</v>
      </c>
      <c r="D249" s="184">
        <v>0</v>
      </c>
      <c r="E249" s="184">
        <v>0</v>
      </c>
      <c r="F249" s="184">
        <v>0</v>
      </c>
      <c r="G249" s="184">
        <v>0</v>
      </c>
      <c r="H249" s="184">
        <v>0</v>
      </c>
      <c r="I249" s="184">
        <v>0</v>
      </c>
      <c r="J249" s="184">
        <v>0</v>
      </c>
      <c r="K249" s="184">
        <v>0</v>
      </c>
      <c r="L249" s="184">
        <v>0</v>
      </c>
      <c r="M249" s="654" t="s">
        <v>24</v>
      </c>
      <c r="N249" s="670" t="s">
        <v>46</v>
      </c>
      <c r="O249" s="642">
        <v>0</v>
      </c>
      <c r="P249" s="184">
        <v>0</v>
      </c>
      <c r="Q249" s="184">
        <v>0</v>
      </c>
      <c r="R249" s="184">
        <v>0</v>
      </c>
      <c r="S249" s="184">
        <v>0</v>
      </c>
      <c r="T249" s="184">
        <v>0</v>
      </c>
      <c r="U249" s="184">
        <v>0</v>
      </c>
      <c r="V249" s="184">
        <v>0</v>
      </c>
      <c r="W249" s="184">
        <v>0</v>
      </c>
      <c r="X249" s="184">
        <v>0</v>
      </c>
      <c r="Y249" s="184">
        <v>0</v>
      </c>
      <c r="Z249" s="184">
        <v>0</v>
      </c>
      <c r="AA249" s="184">
        <v>0</v>
      </c>
      <c r="AB249" s="184">
        <v>0</v>
      </c>
      <c r="AC249" s="185" t="s">
        <v>24</v>
      </c>
      <c r="AD249" s="185" t="s">
        <v>24</v>
      </c>
      <c r="AE249" s="184">
        <v>0</v>
      </c>
      <c r="AF249" s="185">
        <v>0</v>
      </c>
      <c r="AG249" s="184">
        <v>0</v>
      </c>
      <c r="AH249" s="185">
        <v>0</v>
      </c>
      <c r="AI249" s="184">
        <v>0</v>
      </c>
      <c r="AJ249" s="643">
        <v>0</v>
      </c>
    </row>
    <row r="250" spans="1:36" x14ac:dyDescent="0.2">
      <c r="A250" s="440" t="s">
        <v>73</v>
      </c>
      <c r="B250" s="642">
        <v>2</v>
      </c>
      <c r="C250" s="184">
        <v>0</v>
      </c>
      <c r="D250" s="184">
        <v>2</v>
      </c>
      <c r="E250" s="184">
        <v>0</v>
      </c>
      <c r="F250" s="184">
        <v>0</v>
      </c>
      <c r="G250" s="184">
        <v>0</v>
      </c>
      <c r="H250" s="184">
        <v>0</v>
      </c>
      <c r="I250" s="184">
        <v>0</v>
      </c>
      <c r="J250" s="184">
        <v>0</v>
      </c>
      <c r="K250" s="184">
        <v>0</v>
      </c>
      <c r="L250" s="184">
        <v>0</v>
      </c>
      <c r="M250" s="654" t="s">
        <v>24</v>
      </c>
      <c r="N250" s="670" t="s">
        <v>73</v>
      </c>
      <c r="O250" s="642">
        <v>0</v>
      </c>
      <c r="P250" s="184">
        <v>0</v>
      </c>
      <c r="Q250" s="184">
        <v>0</v>
      </c>
      <c r="R250" s="184">
        <v>0</v>
      </c>
      <c r="S250" s="184">
        <v>0</v>
      </c>
      <c r="T250" s="184">
        <v>0</v>
      </c>
      <c r="U250" s="184">
        <v>0</v>
      </c>
      <c r="V250" s="184">
        <v>1</v>
      </c>
      <c r="W250" s="184">
        <v>0</v>
      </c>
      <c r="X250" s="184">
        <v>1</v>
      </c>
      <c r="Y250" s="184">
        <v>0</v>
      </c>
      <c r="Z250" s="184">
        <v>0</v>
      </c>
      <c r="AA250" s="184">
        <v>0</v>
      </c>
      <c r="AB250" s="184">
        <v>0</v>
      </c>
      <c r="AC250" s="185">
        <v>48.5</v>
      </c>
      <c r="AD250" s="185" t="s">
        <v>24</v>
      </c>
      <c r="AE250" s="184">
        <v>0</v>
      </c>
      <c r="AF250" s="185">
        <v>0</v>
      </c>
      <c r="AG250" s="184">
        <v>0</v>
      </c>
      <c r="AH250" s="185">
        <v>0</v>
      </c>
      <c r="AI250" s="184">
        <v>0</v>
      </c>
      <c r="AJ250" s="643">
        <v>0</v>
      </c>
    </row>
    <row r="251" spans="1:36" x14ac:dyDescent="0.2">
      <c r="A251" s="440" t="s">
        <v>75</v>
      </c>
      <c r="B251" s="642">
        <v>5</v>
      </c>
      <c r="C251" s="184">
        <v>0</v>
      </c>
      <c r="D251" s="184">
        <v>5</v>
      </c>
      <c r="E251" s="184">
        <v>0</v>
      </c>
      <c r="F251" s="184">
        <v>0</v>
      </c>
      <c r="G251" s="184">
        <v>0</v>
      </c>
      <c r="H251" s="184">
        <v>0</v>
      </c>
      <c r="I251" s="184">
        <v>0</v>
      </c>
      <c r="J251" s="184">
        <v>0</v>
      </c>
      <c r="K251" s="184">
        <v>0</v>
      </c>
      <c r="L251" s="184">
        <v>0</v>
      </c>
      <c r="M251" s="654" t="s">
        <v>24</v>
      </c>
      <c r="N251" s="670" t="s">
        <v>75</v>
      </c>
      <c r="O251" s="642">
        <v>0</v>
      </c>
      <c r="P251" s="184">
        <v>0</v>
      </c>
      <c r="Q251" s="184">
        <v>0</v>
      </c>
      <c r="R251" s="184">
        <v>0</v>
      </c>
      <c r="S251" s="184">
        <v>0</v>
      </c>
      <c r="T251" s="184">
        <v>0</v>
      </c>
      <c r="U251" s="184">
        <v>0</v>
      </c>
      <c r="V251" s="184">
        <v>1</v>
      </c>
      <c r="W251" s="184">
        <v>3</v>
      </c>
      <c r="X251" s="184">
        <v>1</v>
      </c>
      <c r="Y251" s="184">
        <v>0</v>
      </c>
      <c r="Z251" s="184">
        <v>0</v>
      </c>
      <c r="AA251" s="184">
        <v>0</v>
      </c>
      <c r="AB251" s="184">
        <v>0</v>
      </c>
      <c r="AC251" s="185">
        <v>48.2</v>
      </c>
      <c r="AD251" s="185" t="s">
        <v>24</v>
      </c>
      <c r="AE251" s="184">
        <v>0</v>
      </c>
      <c r="AF251" s="185">
        <v>0</v>
      </c>
      <c r="AG251" s="184">
        <v>0</v>
      </c>
      <c r="AH251" s="185">
        <v>0</v>
      </c>
      <c r="AI251" s="184">
        <v>0</v>
      </c>
      <c r="AJ251" s="643">
        <v>0</v>
      </c>
    </row>
    <row r="252" spans="1:36" ht="13.5" thickBot="1" x14ac:dyDescent="0.25">
      <c r="A252" s="440" t="s">
        <v>77</v>
      </c>
      <c r="B252" s="644">
        <v>4</v>
      </c>
      <c r="C252" s="188">
        <v>0</v>
      </c>
      <c r="D252" s="188">
        <v>3</v>
      </c>
      <c r="E252" s="188">
        <v>0</v>
      </c>
      <c r="F252" s="188">
        <v>1</v>
      </c>
      <c r="G252" s="188">
        <v>0</v>
      </c>
      <c r="H252" s="188">
        <v>0</v>
      </c>
      <c r="I252" s="188">
        <v>0</v>
      </c>
      <c r="J252" s="188">
        <v>0</v>
      </c>
      <c r="K252" s="188">
        <v>0</v>
      </c>
      <c r="L252" s="188">
        <v>0</v>
      </c>
      <c r="M252" s="655" t="s">
        <v>24</v>
      </c>
      <c r="N252" s="670" t="s">
        <v>77</v>
      </c>
      <c r="O252" s="644">
        <v>0</v>
      </c>
      <c r="P252" s="188">
        <v>0</v>
      </c>
      <c r="Q252" s="188">
        <v>0</v>
      </c>
      <c r="R252" s="188">
        <v>0</v>
      </c>
      <c r="S252" s="188">
        <v>0</v>
      </c>
      <c r="T252" s="188">
        <v>0</v>
      </c>
      <c r="U252" s="188">
        <v>0</v>
      </c>
      <c r="V252" s="188">
        <v>1</v>
      </c>
      <c r="W252" s="188">
        <v>2</v>
      </c>
      <c r="X252" s="188">
        <v>1</v>
      </c>
      <c r="Y252" s="188">
        <v>0</v>
      </c>
      <c r="Z252" s="188">
        <v>0</v>
      </c>
      <c r="AA252" s="188">
        <v>0</v>
      </c>
      <c r="AB252" s="188">
        <v>0</v>
      </c>
      <c r="AC252" s="189">
        <v>49.3</v>
      </c>
      <c r="AD252" s="189" t="s">
        <v>24</v>
      </c>
      <c r="AE252" s="188">
        <v>0</v>
      </c>
      <c r="AF252" s="189">
        <v>0</v>
      </c>
      <c r="AG252" s="188">
        <v>0</v>
      </c>
      <c r="AH252" s="189">
        <v>0</v>
      </c>
      <c r="AI252" s="188">
        <v>0</v>
      </c>
      <c r="AJ252" s="645">
        <v>0</v>
      </c>
    </row>
    <row r="253" spans="1:36" x14ac:dyDescent="0.2">
      <c r="A253" s="440" t="s">
        <v>48</v>
      </c>
      <c r="B253" s="642">
        <v>5</v>
      </c>
      <c r="C253" s="184">
        <v>0</v>
      </c>
      <c r="D253" s="184">
        <v>5</v>
      </c>
      <c r="E253" s="184">
        <v>0</v>
      </c>
      <c r="F253" s="184">
        <v>0</v>
      </c>
      <c r="G253" s="184">
        <v>0</v>
      </c>
      <c r="H253" s="184">
        <v>0</v>
      </c>
      <c r="I253" s="184">
        <v>0</v>
      </c>
      <c r="J253" s="184">
        <v>0</v>
      </c>
      <c r="K253" s="184">
        <v>0</v>
      </c>
      <c r="L253" s="184">
        <v>0</v>
      </c>
      <c r="M253" s="654" t="s">
        <v>24</v>
      </c>
      <c r="N253" s="670" t="s">
        <v>48</v>
      </c>
      <c r="O253" s="642">
        <v>0</v>
      </c>
      <c r="P253" s="184">
        <v>0</v>
      </c>
      <c r="Q253" s="184">
        <v>0</v>
      </c>
      <c r="R253" s="184">
        <v>0</v>
      </c>
      <c r="S253" s="184">
        <v>0</v>
      </c>
      <c r="T253" s="184">
        <v>0</v>
      </c>
      <c r="U253" s="184">
        <v>1</v>
      </c>
      <c r="V253" s="184">
        <v>1</v>
      </c>
      <c r="W253" s="184">
        <v>1</v>
      </c>
      <c r="X253" s="184">
        <v>1</v>
      </c>
      <c r="Y253" s="184">
        <v>1</v>
      </c>
      <c r="Z253" s="184">
        <v>0</v>
      </c>
      <c r="AA253" s="184">
        <v>0</v>
      </c>
      <c r="AB253" s="184">
        <v>0</v>
      </c>
      <c r="AC253" s="185">
        <v>48.9</v>
      </c>
      <c r="AD253" s="185" t="s">
        <v>24</v>
      </c>
      <c r="AE253" s="184">
        <v>1</v>
      </c>
      <c r="AF253" s="185">
        <v>20</v>
      </c>
      <c r="AG253" s="184">
        <v>0</v>
      </c>
      <c r="AH253" s="185">
        <v>0</v>
      </c>
      <c r="AI253" s="184">
        <v>0</v>
      </c>
      <c r="AJ253" s="643">
        <v>0</v>
      </c>
    </row>
    <row r="254" spans="1:36" x14ac:dyDescent="0.2">
      <c r="A254" s="440" t="s">
        <v>79</v>
      </c>
      <c r="B254" s="642">
        <v>6</v>
      </c>
      <c r="C254" s="184">
        <v>0</v>
      </c>
      <c r="D254" s="184">
        <v>6</v>
      </c>
      <c r="E254" s="184">
        <v>0</v>
      </c>
      <c r="F254" s="184">
        <v>0</v>
      </c>
      <c r="G254" s="184">
        <v>0</v>
      </c>
      <c r="H254" s="184">
        <v>0</v>
      </c>
      <c r="I254" s="184">
        <v>0</v>
      </c>
      <c r="J254" s="184">
        <v>0</v>
      </c>
      <c r="K254" s="184">
        <v>0</v>
      </c>
      <c r="L254" s="184">
        <v>0</v>
      </c>
      <c r="M254" s="654" t="s">
        <v>24</v>
      </c>
      <c r="N254" s="670" t="s">
        <v>79</v>
      </c>
      <c r="O254" s="642">
        <v>0</v>
      </c>
      <c r="P254" s="184">
        <v>0</v>
      </c>
      <c r="Q254" s="184">
        <v>0</v>
      </c>
      <c r="R254" s="184">
        <v>0</v>
      </c>
      <c r="S254" s="184">
        <v>0</v>
      </c>
      <c r="T254" s="184">
        <v>2</v>
      </c>
      <c r="U254" s="184">
        <v>0</v>
      </c>
      <c r="V254" s="184">
        <v>2</v>
      </c>
      <c r="W254" s="184">
        <v>1</v>
      </c>
      <c r="X254" s="184">
        <v>1</v>
      </c>
      <c r="Y254" s="184">
        <v>0</v>
      </c>
      <c r="Z254" s="184">
        <v>0</v>
      </c>
      <c r="AA254" s="184">
        <v>0</v>
      </c>
      <c r="AB254" s="184">
        <v>0</v>
      </c>
      <c r="AC254" s="185">
        <v>41.3</v>
      </c>
      <c r="AD254" s="185" t="s">
        <v>24</v>
      </c>
      <c r="AE254" s="184">
        <v>0</v>
      </c>
      <c r="AF254" s="185">
        <v>0</v>
      </c>
      <c r="AG254" s="184">
        <v>0</v>
      </c>
      <c r="AH254" s="185">
        <v>0</v>
      </c>
      <c r="AI254" s="184">
        <v>0</v>
      </c>
      <c r="AJ254" s="643">
        <v>0</v>
      </c>
    </row>
    <row r="255" spans="1:36" x14ac:dyDescent="0.2">
      <c r="A255" s="440" t="s">
        <v>80</v>
      </c>
      <c r="B255" s="642">
        <v>8</v>
      </c>
      <c r="C255" s="184">
        <v>0</v>
      </c>
      <c r="D255" s="184">
        <v>8</v>
      </c>
      <c r="E255" s="184">
        <v>0</v>
      </c>
      <c r="F255" s="184">
        <v>0</v>
      </c>
      <c r="G255" s="184">
        <v>0</v>
      </c>
      <c r="H255" s="184">
        <v>0</v>
      </c>
      <c r="I255" s="184">
        <v>0</v>
      </c>
      <c r="J255" s="184">
        <v>0</v>
      </c>
      <c r="K255" s="184">
        <v>0</v>
      </c>
      <c r="L255" s="184">
        <v>0</v>
      </c>
      <c r="M255" s="654" t="s">
        <v>24</v>
      </c>
      <c r="N255" s="670" t="s">
        <v>80</v>
      </c>
      <c r="O255" s="642">
        <v>0</v>
      </c>
      <c r="P255" s="184">
        <v>0</v>
      </c>
      <c r="Q255" s="184">
        <v>0</v>
      </c>
      <c r="R255" s="184">
        <v>0</v>
      </c>
      <c r="S255" s="184">
        <v>0</v>
      </c>
      <c r="T255" s="184">
        <v>0</v>
      </c>
      <c r="U255" s="184">
        <v>3</v>
      </c>
      <c r="V255" s="184">
        <v>2</v>
      </c>
      <c r="W255" s="184">
        <v>1</v>
      </c>
      <c r="X255" s="184">
        <v>2</v>
      </c>
      <c r="Y255" s="184">
        <v>0</v>
      </c>
      <c r="Z255" s="184">
        <v>0</v>
      </c>
      <c r="AA255" s="184">
        <v>0</v>
      </c>
      <c r="AB255" s="184">
        <v>0</v>
      </c>
      <c r="AC255" s="185">
        <v>44.4</v>
      </c>
      <c r="AD255" s="185" t="s">
        <v>24</v>
      </c>
      <c r="AE255" s="184">
        <v>0</v>
      </c>
      <c r="AF255" s="185">
        <v>0</v>
      </c>
      <c r="AG255" s="184">
        <v>0</v>
      </c>
      <c r="AH255" s="185">
        <v>0</v>
      </c>
      <c r="AI255" s="184">
        <v>0</v>
      </c>
      <c r="AJ255" s="643">
        <v>0</v>
      </c>
    </row>
    <row r="256" spans="1:36" ht="13.5" thickBot="1" x14ac:dyDescent="0.25">
      <c r="A256" s="440" t="s">
        <v>81</v>
      </c>
      <c r="B256" s="644">
        <v>17</v>
      </c>
      <c r="C256" s="188">
        <v>0</v>
      </c>
      <c r="D256" s="188">
        <v>14</v>
      </c>
      <c r="E256" s="188">
        <v>1</v>
      </c>
      <c r="F256" s="188">
        <v>2</v>
      </c>
      <c r="G256" s="188">
        <v>0</v>
      </c>
      <c r="H256" s="188">
        <v>0</v>
      </c>
      <c r="I256" s="188">
        <v>0</v>
      </c>
      <c r="J256" s="188">
        <v>0</v>
      </c>
      <c r="K256" s="188">
        <v>0</v>
      </c>
      <c r="L256" s="188">
        <v>0</v>
      </c>
      <c r="M256" s="655" t="s">
        <v>24</v>
      </c>
      <c r="N256" s="670" t="s">
        <v>81</v>
      </c>
      <c r="O256" s="644">
        <v>0</v>
      </c>
      <c r="P256" s="188">
        <v>0</v>
      </c>
      <c r="Q256" s="188">
        <v>0</v>
      </c>
      <c r="R256" s="188">
        <v>0</v>
      </c>
      <c r="S256" s="188">
        <v>0</v>
      </c>
      <c r="T256" s="188">
        <v>3</v>
      </c>
      <c r="U256" s="188">
        <v>7</v>
      </c>
      <c r="V256" s="188">
        <v>2</v>
      </c>
      <c r="W256" s="188">
        <v>4</v>
      </c>
      <c r="X256" s="188">
        <v>1</v>
      </c>
      <c r="Y256" s="188">
        <v>0</v>
      </c>
      <c r="Z256" s="188">
        <v>0</v>
      </c>
      <c r="AA256" s="188">
        <v>0</v>
      </c>
      <c r="AB256" s="188">
        <v>0</v>
      </c>
      <c r="AC256" s="189">
        <v>40.5</v>
      </c>
      <c r="AD256" s="189">
        <v>48.3</v>
      </c>
      <c r="AE256" s="188">
        <v>0</v>
      </c>
      <c r="AF256" s="189">
        <v>0</v>
      </c>
      <c r="AG256" s="188">
        <v>0</v>
      </c>
      <c r="AH256" s="189">
        <v>0</v>
      </c>
      <c r="AI256" s="188">
        <v>0</v>
      </c>
      <c r="AJ256" s="645">
        <v>0</v>
      </c>
    </row>
    <row r="257" spans="1:36" x14ac:dyDescent="0.2">
      <c r="A257" s="440" t="s">
        <v>50</v>
      </c>
      <c r="B257" s="646">
        <v>12</v>
      </c>
      <c r="C257" s="186">
        <v>0</v>
      </c>
      <c r="D257" s="186">
        <v>11</v>
      </c>
      <c r="E257" s="186">
        <v>0</v>
      </c>
      <c r="F257" s="186">
        <v>1</v>
      </c>
      <c r="G257" s="186">
        <v>0</v>
      </c>
      <c r="H257" s="186">
        <v>0</v>
      </c>
      <c r="I257" s="186">
        <v>0</v>
      </c>
      <c r="J257" s="186">
        <v>0</v>
      </c>
      <c r="K257" s="186">
        <v>0</v>
      </c>
      <c r="L257" s="186">
        <v>0</v>
      </c>
      <c r="M257" s="656" t="s">
        <v>24</v>
      </c>
      <c r="N257" s="670" t="s">
        <v>50</v>
      </c>
      <c r="O257" s="646">
        <v>0</v>
      </c>
      <c r="P257" s="186">
        <v>0</v>
      </c>
      <c r="Q257" s="186">
        <v>0</v>
      </c>
      <c r="R257" s="186">
        <v>0</v>
      </c>
      <c r="S257" s="186">
        <v>0</v>
      </c>
      <c r="T257" s="186">
        <v>0</v>
      </c>
      <c r="U257" s="186">
        <v>2</v>
      </c>
      <c r="V257" s="186">
        <v>5</v>
      </c>
      <c r="W257" s="186">
        <v>3</v>
      </c>
      <c r="X257" s="186">
        <v>2</v>
      </c>
      <c r="Y257" s="186">
        <v>0</v>
      </c>
      <c r="Z257" s="186">
        <v>0</v>
      </c>
      <c r="AA257" s="186">
        <v>0</v>
      </c>
      <c r="AB257" s="186">
        <v>0</v>
      </c>
      <c r="AC257" s="187">
        <v>44.2</v>
      </c>
      <c r="AD257" s="187">
        <v>51.1</v>
      </c>
      <c r="AE257" s="186">
        <v>0</v>
      </c>
      <c r="AF257" s="187">
        <v>0</v>
      </c>
      <c r="AG257" s="186">
        <v>0</v>
      </c>
      <c r="AH257" s="187">
        <v>0</v>
      </c>
      <c r="AI257" s="186">
        <v>0</v>
      </c>
      <c r="AJ257" s="647">
        <v>0</v>
      </c>
    </row>
    <row r="258" spans="1:36" x14ac:dyDescent="0.2">
      <c r="A258" s="440" t="s">
        <v>82</v>
      </c>
      <c r="B258" s="642">
        <v>12</v>
      </c>
      <c r="C258" s="184">
        <v>0</v>
      </c>
      <c r="D258" s="184">
        <v>11</v>
      </c>
      <c r="E258" s="184">
        <v>0</v>
      </c>
      <c r="F258" s="184">
        <v>1</v>
      </c>
      <c r="G258" s="184">
        <v>0</v>
      </c>
      <c r="H258" s="184">
        <v>0</v>
      </c>
      <c r="I258" s="184">
        <v>0</v>
      </c>
      <c r="J258" s="184">
        <v>0</v>
      </c>
      <c r="K258" s="184">
        <v>0</v>
      </c>
      <c r="L258" s="184">
        <v>0</v>
      </c>
      <c r="M258" s="654" t="s">
        <v>24</v>
      </c>
      <c r="N258" s="670" t="s">
        <v>82</v>
      </c>
      <c r="O258" s="642">
        <v>0</v>
      </c>
      <c r="P258" s="184">
        <v>0</v>
      </c>
      <c r="Q258" s="184">
        <v>0</v>
      </c>
      <c r="R258" s="184">
        <v>0</v>
      </c>
      <c r="S258" s="184">
        <v>0</v>
      </c>
      <c r="T258" s="184">
        <v>2</v>
      </c>
      <c r="U258" s="184">
        <v>2</v>
      </c>
      <c r="V258" s="184">
        <v>5</v>
      </c>
      <c r="W258" s="184">
        <v>0</v>
      </c>
      <c r="X258" s="184">
        <v>3</v>
      </c>
      <c r="Y258" s="184">
        <v>0</v>
      </c>
      <c r="Z258" s="184">
        <v>0</v>
      </c>
      <c r="AA258" s="184">
        <v>0</v>
      </c>
      <c r="AB258" s="184">
        <v>0</v>
      </c>
      <c r="AC258" s="185">
        <v>42.4</v>
      </c>
      <c r="AD258" s="185">
        <v>51.4</v>
      </c>
      <c r="AE258" s="184">
        <v>0</v>
      </c>
      <c r="AF258" s="185">
        <v>0</v>
      </c>
      <c r="AG258" s="184">
        <v>0</v>
      </c>
      <c r="AH258" s="185">
        <v>0</v>
      </c>
      <c r="AI258" s="184">
        <v>0</v>
      </c>
      <c r="AJ258" s="643">
        <v>0</v>
      </c>
    </row>
    <row r="259" spans="1:36" x14ac:dyDescent="0.2">
      <c r="A259" s="440" t="s">
        <v>83</v>
      </c>
      <c r="B259" s="642">
        <v>28</v>
      </c>
      <c r="C259" s="184">
        <v>0</v>
      </c>
      <c r="D259" s="184">
        <v>25</v>
      </c>
      <c r="E259" s="184">
        <v>0</v>
      </c>
      <c r="F259" s="184">
        <v>2</v>
      </c>
      <c r="G259" s="184">
        <v>0</v>
      </c>
      <c r="H259" s="184">
        <v>0</v>
      </c>
      <c r="I259" s="184">
        <v>1</v>
      </c>
      <c r="J259" s="184">
        <v>0</v>
      </c>
      <c r="K259" s="184">
        <v>0</v>
      </c>
      <c r="L259" s="184">
        <v>0</v>
      </c>
      <c r="M259" s="654" t="s">
        <v>24</v>
      </c>
      <c r="N259" s="670" t="s">
        <v>83</v>
      </c>
      <c r="O259" s="642">
        <v>0</v>
      </c>
      <c r="P259" s="184">
        <v>0</v>
      </c>
      <c r="Q259" s="184">
        <v>0</v>
      </c>
      <c r="R259" s="184">
        <v>0</v>
      </c>
      <c r="S259" s="184">
        <v>1</v>
      </c>
      <c r="T259" s="184">
        <v>3</v>
      </c>
      <c r="U259" s="184">
        <v>8</v>
      </c>
      <c r="V259" s="184">
        <v>7</v>
      </c>
      <c r="W259" s="184">
        <v>6</v>
      </c>
      <c r="X259" s="184">
        <v>2</v>
      </c>
      <c r="Y259" s="184">
        <v>1</v>
      </c>
      <c r="Z259" s="184">
        <v>0</v>
      </c>
      <c r="AA259" s="184">
        <v>0</v>
      </c>
      <c r="AB259" s="184">
        <v>0</v>
      </c>
      <c r="AC259" s="185">
        <v>42.7</v>
      </c>
      <c r="AD259" s="185">
        <v>49.1</v>
      </c>
      <c r="AE259" s="184">
        <v>1</v>
      </c>
      <c r="AF259" s="185">
        <v>3.5714285714285712</v>
      </c>
      <c r="AG259" s="184">
        <v>0</v>
      </c>
      <c r="AH259" s="185">
        <v>0</v>
      </c>
      <c r="AI259" s="184">
        <v>0</v>
      </c>
      <c r="AJ259" s="643">
        <v>0</v>
      </c>
    </row>
    <row r="260" spans="1:36" x14ac:dyDescent="0.2">
      <c r="A260" s="440" t="s">
        <v>84</v>
      </c>
      <c r="B260" s="642">
        <v>17</v>
      </c>
      <c r="C260" s="184">
        <v>1</v>
      </c>
      <c r="D260" s="184">
        <v>15</v>
      </c>
      <c r="E260" s="184">
        <v>0</v>
      </c>
      <c r="F260" s="184">
        <v>1</v>
      </c>
      <c r="G260" s="184">
        <v>0</v>
      </c>
      <c r="H260" s="184">
        <v>0</v>
      </c>
      <c r="I260" s="184">
        <v>0</v>
      </c>
      <c r="J260" s="184">
        <v>0</v>
      </c>
      <c r="K260" s="184">
        <v>0</v>
      </c>
      <c r="L260" s="184">
        <v>0</v>
      </c>
      <c r="M260" s="654" t="s">
        <v>24</v>
      </c>
      <c r="N260" s="670" t="s">
        <v>84</v>
      </c>
      <c r="O260" s="642">
        <v>0</v>
      </c>
      <c r="P260" s="184">
        <v>0</v>
      </c>
      <c r="Q260" s="184">
        <v>0</v>
      </c>
      <c r="R260" s="184">
        <v>0</v>
      </c>
      <c r="S260" s="184">
        <v>0</v>
      </c>
      <c r="T260" s="184">
        <v>0</v>
      </c>
      <c r="U260" s="184">
        <v>3</v>
      </c>
      <c r="V260" s="184">
        <v>5</v>
      </c>
      <c r="W260" s="184">
        <v>6</v>
      </c>
      <c r="X260" s="184">
        <v>2</v>
      </c>
      <c r="Y260" s="184">
        <v>1</v>
      </c>
      <c r="Z260" s="184">
        <v>0</v>
      </c>
      <c r="AA260" s="184">
        <v>0</v>
      </c>
      <c r="AB260" s="184">
        <v>0</v>
      </c>
      <c r="AC260" s="185">
        <v>45.1</v>
      </c>
      <c r="AD260" s="185">
        <v>52.8</v>
      </c>
      <c r="AE260" s="184">
        <v>1</v>
      </c>
      <c r="AF260" s="185">
        <v>5.8823529411764701</v>
      </c>
      <c r="AG260" s="184">
        <v>0</v>
      </c>
      <c r="AH260" s="185">
        <v>0</v>
      </c>
      <c r="AI260" s="184">
        <v>0</v>
      </c>
      <c r="AJ260" s="643">
        <v>0</v>
      </c>
    </row>
    <row r="261" spans="1:36" x14ac:dyDescent="0.2">
      <c r="A261" s="440" t="s">
        <v>51</v>
      </c>
      <c r="B261" s="642">
        <v>22</v>
      </c>
      <c r="C261" s="184">
        <v>0</v>
      </c>
      <c r="D261" s="184">
        <v>18</v>
      </c>
      <c r="E261" s="184">
        <v>0</v>
      </c>
      <c r="F261" s="184">
        <v>4</v>
      </c>
      <c r="G261" s="184">
        <v>0</v>
      </c>
      <c r="H261" s="184">
        <v>0</v>
      </c>
      <c r="I261" s="184">
        <v>0</v>
      </c>
      <c r="J261" s="184">
        <v>0</v>
      </c>
      <c r="K261" s="184">
        <v>0</v>
      </c>
      <c r="L261" s="184">
        <v>0</v>
      </c>
      <c r="M261" s="654" t="s">
        <v>24</v>
      </c>
      <c r="N261" s="670" t="s">
        <v>51</v>
      </c>
      <c r="O261" s="642">
        <v>0</v>
      </c>
      <c r="P261" s="184">
        <v>0</v>
      </c>
      <c r="Q261" s="184">
        <v>0</v>
      </c>
      <c r="R261" s="184">
        <v>0</v>
      </c>
      <c r="S261" s="184">
        <v>0</v>
      </c>
      <c r="T261" s="184">
        <v>3</v>
      </c>
      <c r="U261" s="184">
        <v>2</v>
      </c>
      <c r="V261" s="184">
        <v>11</v>
      </c>
      <c r="W261" s="184">
        <v>5</v>
      </c>
      <c r="X261" s="184">
        <v>1</v>
      </c>
      <c r="Y261" s="184">
        <v>0</v>
      </c>
      <c r="Z261" s="184">
        <v>0</v>
      </c>
      <c r="AA261" s="184">
        <v>0</v>
      </c>
      <c r="AB261" s="184">
        <v>0</v>
      </c>
      <c r="AC261" s="185">
        <v>41.9</v>
      </c>
      <c r="AD261" s="185">
        <v>46.5</v>
      </c>
      <c r="AE261" s="184">
        <v>0</v>
      </c>
      <c r="AF261" s="185">
        <v>0</v>
      </c>
      <c r="AG261" s="184">
        <v>0</v>
      </c>
      <c r="AH261" s="185">
        <v>0</v>
      </c>
      <c r="AI261" s="184">
        <v>0</v>
      </c>
      <c r="AJ261" s="643">
        <v>0</v>
      </c>
    </row>
    <row r="262" spans="1:36" x14ac:dyDescent="0.2">
      <c r="A262" s="440" t="s">
        <v>85</v>
      </c>
      <c r="B262" s="642">
        <v>20</v>
      </c>
      <c r="C262" s="184">
        <v>0</v>
      </c>
      <c r="D262" s="184">
        <v>20</v>
      </c>
      <c r="E262" s="184">
        <v>0</v>
      </c>
      <c r="F262" s="184">
        <v>0</v>
      </c>
      <c r="G262" s="184">
        <v>0</v>
      </c>
      <c r="H262" s="184">
        <v>0</v>
      </c>
      <c r="I262" s="184">
        <v>0</v>
      </c>
      <c r="J262" s="184">
        <v>0</v>
      </c>
      <c r="K262" s="184">
        <v>0</v>
      </c>
      <c r="L262" s="184">
        <v>0</v>
      </c>
      <c r="M262" s="654" t="s">
        <v>24</v>
      </c>
      <c r="N262" s="670" t="s">
        <v>85</v>
      </c>
      <c r="O262" s="642">
        <v>0</v>
      </c>
      <c r="P262" s="184">
        <v>0</v>
      </c>
      <c r="Q262" s="184">
        <v>0</v>
      </c>
      <c r="R262" s="184">
        <v>1</v>
      </c>
      <c r="S262" s="184">
        <v>0</v>
      </c>
      <c r="T262" s="184">
        <v>2</v>
      </c>
      <c r="U262" s="184">
        <v>7</v>
      </c>
      <c r="V262" s="184">
        <v>7</v>
      </c>
      <c r="W262" s="184">
        <v>3</v>
      </c>
      <c r="X262" s="184">
        <v>0</v>
      </c>
      <c r="Y262" s="184">
        <v>0</v>
      </c>
      <c r="Z262" s="184">
        <v>0</v>
      </c>
      <c r="AA262" s="184">
        <v>0</v>
      </c>
      <c r="AB262" s="184">
        <v>0</v>
      </c>
      <c r="AC262" s="185">
        <v>39.4</v>
      </c>
      <c r="AD262" s="185">
        <v>45.6</v>
      </c>
      <c r="AE262" s="184">
        <v>0</v>
      </c>
      <c r="AF262" s="185">
        <v>0</v>
      </c>
      <c r="AG262" s="184">
        <v>0</v>
      </c>
      <c r="AH262" s="185">
        <v>0</v>
      </c>
      <c r="AI262" s="184">
        <v>0</v>
      </c>
      <c r="AJ262" s="643">
        <v>0</v>
      </c>
    </row>
    <row r="263" spans="1:36" x14ac:dyDescent="0.2">
      <c r="A263" s="440" t="s">
        <v>86</v>
      </c>
      <c r="B263" s="642">
        <v>24</v>
      </c>
      <c r="C263" s="184">
        <v>0</v>
      </c>
      <c r="D263" s="184">
        <v>23</v>
      </c>
      <c r="E263" s="184">
        <v>0</v>
      </c>
      <c r="F263" s="184">
        <v>1</v>
      </c>
      <c r="G263" s="184">
        <v>0</v>
      </c>
      <c r="H263" s="184">
        <v>0</v>
      </c>
      <c r="I263" s="184">
        <v>0</v>
      </c>
      <c r="J263" s="184">
        <v>0</v>
      </c>
      <c r="K263" s="184">
        <v>0</v>
      </c>
      <c r="L263" s="184">
        <v>0</v>
      </c>
      <c r="M263" s="654" t="s">
        <v>24</v>
      </c>
      <c r="N263" s="670" t="s">
        <v>86</v>
      </c>
      <c r="O263" s="642">
        <v>0</v>
      </c>
      <c r="P263" s="184">
        <v>0</v>
      </c>
      <c r="Q263" s="184">
        <v>0</v>
      </c>
      <c r="R263" s="184">
        <v>0</v>
      </c>
      <c r="S263" s="184">
        <v>0</v>
      </c>
      <c r="T263" s="184">
        <v>1</v>
      </c>
      <c r="U263" s="184">
        <v>7</v>
      </c>
      <c r="V263" s="184">
        <v>8</v>
      </c>
      <c r="W263" s="184">
        <v>7</v>
      </c>
      <c r="X263" s="184">
        <v>1</v>
      </c>
      <c r="Y263" s="184">
        <v>0</v>
      </c>
      <c r="Z263" s="184">
        <v>0</v>
      </c>
      <c r="AA263" s="184">
        <v>0</v>
      </c>
      <c r="AB263" s="184">
        <v>0</v>
      </c>
      <c r="AC263" s="185">
        <v>42.4</v>
      </c>
      <c r="AD263" s="185">
        <v>47.9</v>
      </c>
      <c r="AE263" s="184">
        <v>0</v>
      </c>
      <c r="AF263" s="185">
        <v>0</v>
      </c>
      <c r="AG263" s="184">
        <v>0</v>
      </c>
      <c r="AH263" s="185">
        <v>0</v>
      </c>
      <c r="AI263" s="184">
        <v>0</v>
      </c>
      <c r="AJ263" s="643">
        <v>0</v>
      </c>
    </row>
    <row r="264" spans="1:36" x14ac:dyDescent="0.2">
      <c r="A264" s="440" t="s">
        <v>87</v>
      </c>
      <c r="B264" s="642">
        <v>15</v>
      </c>
      <c r="C264" s="184">
        <v>0</v>
      </c>
      <c r="D264" s="184">
        <v>12</v>
      </c>
      <c r="E264" s="184">
        <v>0</v>
      </c>
      <c r="F264" s="184">
        <v>3</v>
      </c>
      <c r="G264" s="184">
        <v>0</v>
      </c>
      <c r="H264" s="184">
        <v>0</v>
      </c>
      <c r="I264" s="184">
        <v>0</v>
      </c>
      <c r="J264" s="184">
        <v>0</v>
      </c>
      <c r="K264" s="184">
        <v>0</v>
      </c>
      <c r="L264" s="184">
        <v>0</v>
      </c>
      <c r="M264" s="654" t="s">
        <v>24</v>
      </c>
      <c r="N264" s="670" t="s">
        <v>87</v>
      </c>
      <c r="O264" s="642">
        <v>0</v>
      </c>
      <c r="P264" s="184">
        <v>0</v>
      </c>
      <c r="Q264" s="184">
        <v>0</v>
      </c>
      <c r="R264" s="184">
        <v>0</v>
      </c>
      <c r="S264" s="184">
        <v>2</v>
      </c>
      <c r="T264" s="184">
        <v>2</v>
      </c>
      <c r="U264" s="184">
        <v>6</v>
      </c>
      <c r="V264" s="184">
        <v>2</v>
      </c>
      <c r="W264" s="184">
        <v>2</v>
      </c>
      <c r="X264" s="184">
        <v>1</v>
      </c>
      <c r="Y264" s="184">
        <v>0</v>
      </c>
      <c r="Z264" s="184">
        <v>0</v>
      </c>
      <c r="AA264" s="184">
        <v>0</v>
      </c>
      <c r="AB264" s="184">
        <v>0</v>
      </c>
      <c r="AC264" s="185">
        <v>39.200000000000003</v>
      </c>
      <c r="AD264" s="185">
        <v>47.3</v>
      </c>
      <c r="AE264" s="184">
        <v>0</v>
      </c>
      <c r="AF264" s="185">
        <v>0</v>
      </c>
      <c r="AG264" s="184">
        <v>0</v>
      </c>
      <c r="AH264" s="185">
        <v>0</v>
      </c>
      <c r="AI264" s="184">
        <v>0</v>
      </c>
      <c r="AJ264" s="643">
        <v>0</v>
      </c>
    </row>
    <row r="265" spans="1:36" x14ac:dyDescent="0.2">
      <c r="A265" s="440" t="s">
        <v>53</v>
      </c>
      <c r="B265" s="646">
        <v>12</v>
      </c>
      <c r="C265" s="186">
        <v>0</v>
      </c>
      <c r="D265" s="186">
        <v>11</v>
      </c>
      <c r="E265" s="186">
        <v>0</v>
      </c>
      <c r="F265" s="186">
        <v>0</v>
      </c>
      <c r="G265" s="186">
        <v>0</v>
      </c>
      <c r="H265" s="186">
        <v>0</v>
      </c>
      <c r="I265" s="186">
        <v>1</v>
      </c>
      <c r="J265" s="186">
        <v>0</v>
      </c>
      <c r="K265" s="186">
        <v>0</v>
      </c>
      <c r="L265" s="186">
        <v>0</v>
      </c>
      <c r="M265" s="656" t="s">
        <v>24</v>
      </c>
      <c r="N265" s="670" t="s">
        <v>53</v>
      </c>
      <c r="O265" s="646">
        <v>0</v>
      </c>
      <c r="P265" s="186">
        <v>0</v>
      </c>
      <c r="Q265" s="186">
        <v>0</v>
      </c>
      <c r="R265" s="186">
        <v>0</v>
      </c>
      <c r="S265" s="186">
        <v>0</v>
      </c>
      <c r="T265" s="186">
        <v>2</v>
      </c>
      <c r="U265" s="186">
        <v>1</v>
      </c>
      <c r="V265" s="186">
        <v>5</v>
      </c>
      <c r="W265" s="186">
        <v>3</v>
      </c>
      <c r="X265" s="186">
        <v>1</v>
      </c>
      <c r="Y265" s="186">
        <v>0</v>
      </c>
      <c r="Z265" s="186">
        <v>0</v>
      </c>
      <c r="AA265" s="186">
        <v>0</v>
      </c>
      <c r="AB265" s="186">
        <v>0</v>
      </c>
      <c r="AC265" s="187">
        <v>42</v>
      </c>
      <c r="AD265" s="187">
        <v>49.7</v>
      </c>
      <c r="AE265" s="186">
        <v>0</v>
      </c>
      <c r="AF265" s="187">
        <v>0</v>
      </c>
      <c r="AG265" s="186">
        <v>0</v>
      </c>
      <c r="AH265" s="187">
        <v>0</v>
      </c>
      <c r="AI265" s="186">
        <v>0</v>
      </c>
      <c r="AJ265" s="647">
        <v>0</v>
      </c>
    </row>
    <row r="266" spans="1:36" x14ac:dyDescent="0.2">
      <c r="A266" s="440" t="s">
        <v>88</v>
      </c>
      <c r="B266" s="642">
        <v>13</v>
      </c>
      <c r="C266" s="184">
        <v>0</v>
      </c>
      <c r="D266" s="184">
        <v>11</v>
      </c>
      <c r="E266" s="184">
        <v>0</v>
      </c>
      <c r="F266" s="184">
        <v>1</v>
      </c>
      <c r="G266" s="184">
        <v>1</v>
      </c>
      <c r="H266" s="184">
        <v>0</v>
      </c>
      <c r="I266" s="184">
        <v>0</v>
      </c>
      <c r="J266" s="184">
        <v>0</v>
      </c>
      <c r="K266" s="184">
        <v>0</v>
      </c>
      <c r="L266" s="184">
        <v>0</v>
      </c>
      <c r="M266" s="654" t="s">
        <v>24</v>
      </c>
      <c r="N266" s="670" t="s">
        <v>88</v>
      </c>
      <c r="O266" s="642">
        <v>0</v>
      </c>
      <c r="P266" s="184">
        <v>0</v>
      </c>
      <c r="Q266" s="184">
        <v>0</v>
      </c>
      <c r="R266" s="184">
        <v>0</v>
      </c>
      <c r="S266" s="184">
        <v>1</v>
      </c>
      <c r="T266" s="184">
        <v>3</v>
      </c>
      <c r="U266" s="184">
        <v>4</v>
      </c>
      <c r="V266" s="184">
        <v>3</v>
      </c>
      <c r="W266" s="184">
        <v>1</v>
      </c>
      <c r="X266" s="184">
        <v>1</v>
      </c>
      <c r="Y266" s="184">
        <v>0</v>
      </c>
      <c r="Z266" s="184">
        <v>0</v>
      </c>
      <c r="AA266" s="184">
        <v>0</v>
      </c>
      <c r="AB266" s="184">
        <v>0</v>
      </c>
      <c r="AC266" s="185">
        <v>38.700000000000003</v>
      </c>
      <c r="AD266" s="185">
        <v>45.9</v>
      </c>
      <c r="AE266" s="184">
        <v>0</v>
      </c>
      <c r="AF266" s="185">
        <v>0</v>
      </c>
      <c r="AG266" s="184">
        <v>0</v>
      </c>
      <c r="AH266" s="185">
        <v>0</v>
      </c>
      <c r="AI266" s="184">
        <v>0</v>
      </c>
      <c r="AJ266" s="643">
        <v>0</v>
      </c>
    </row>
    <row r="267" spans="1:36" x14ac:dyDescent="0.2">
      <c r="A267" s="440" t="s">
        <v>89</v>
      </c>
      <c r="B267" s="642">
        <v>10</v>
      </c>
      <c r="C267" s="184">
        <v>0</v>
      </c>
      <c r="D267" s="184">
        <v>10</v>
      </c>
      <c r="E267" s="184">
        <v>0</v>
      </c>
      <c r="F267" s="184">
        <v>0</v>
      </c>
      <c r="G267" s="184">
        <v>0</v>
      </c>
      <c r="H267" s="184">
        <v>0</v>
      </c>
      <c r="I267" s="184">
        <v>0</v>
      </c>
      <c r="J267" s="184">
        <v>0</v>
      </c>
      <c r="K267" s="184">
        <v>0</v>
      </c>
      <c r="L267" s="184">
        <v>0</v>
      </c>
      <c r="M267" s="654" t="s">
        <v>24</v>
      </c>
      <c r="N267" s="670" t="s">
        <v>89</v>
      </c>
      <c r="O267" s="642">
        <v>0</v>
      </c>
      <c r="P267" s="184">
        <v>0</v>
      </c>
      <c r="Q267" s="184">
        <v>0</v>
      </c>
      <c r="R267" s="184">
        <v>0</v>
      </c>
      <c r="S267" s="184">
        <v>2</v>
      </c>
      <c r="T267" s="184">
        <v>3</v>
      </c>
      <c r="U267" s="184">
        <v>3</v>
      </c>
      <c r="V267" s="184">
        <v>1</v>
      </c>
      <c r="W267" s="184">
        <v>1</v>
      </c>
      <c r="X267" s="184">
        <v>0</v>
      </c>
      <c r="Y267" s="184">
        <v>0</v>
      </c>
      <c r="Z267" s="184">
        <v>0</v>
      </c>
      <c r="AA267" s="184">
        <v>0</v>
      </c>
      <c r="AB267" s="184">
        <v>0</v>
      </c>
      <c r="AC267" s="185">
        <v>35.700000000000003</v>
      </c>
      <c r="AD267" s="185" t="s">
        <v>24</v>
      </c>
      <c r="AE267" s="184">
        <v>0</v>
      </c>
      <c r="AF267" s="185">
        <v>0</v>
      </c>
      <c r="AG267" s="184">
        <v>0</v>
      </c>
      <c r="AH267" s="185">
        <v>0</v>
      </c>
      <c r="AI267" s="184">
        <v>0</v>
      </c>
      <c r="AJ267" s="643">
        <v>0</v>
      </c>
    </row>
    <row r="268" spans="1:36" x14ac:dyDescent="0.2">
      <c r="A268" s="440" t="s">
        <v>90</v>
      </c>
      <c r="B268" s="642">
        <v>18</v>
      </c>
      <c r="C268" s="184">
        <v>0</v>
      </c>
      <c r="D268" s="184">
        <v>16</v>
      </c>
      <c r="E268" s="184">
        <v>0</v>
      </c>
      <c r="F268" s="184">
        <v>2</v>
      </c>
      <c r="G268" s="184">
        <v>0</v>
      </c>
      <c r="H268" s="184">
        <v>0</v>
      </c>
      <c r="I268" s="184">
        <v>0</v>
      </c>
      <c r="J268" s="184">
        <v>0</v>
      </c>
      <c r="K268" s="184">
        <v>0</v>
      </c>
      <c r="L268" s="184">
        <v>0</v>
      </c>
      <c r="M268" s="654" t="s">
        <v>24</v>
      </c>
      <c r="N268" s="670" t="s">
        <v>90</v>
      </c>
      <c r="O268" s="642">
        <v>1</v>
      </c>
      <c r="P268" s="184">
        <v>0</v>
      </c>
      <c r="Q268" s="184">
        <v>1</v>
      </c>
      <c r="R268" s="184">
        <v>1</v>
      </c>
      <c r="S268" s="184">
        <v>0</v>
      </c>
      <c r="T268" s="184">
        <v>5</v>
      </c>
      <c r="U268" s="184">
        <v>5</v>
      </c>
      <c r="V268" s="184">
        <v>3</v>
      </c>
      <c r="W268" s="184">
        <v>2</v>
      </c>
      <c r="X268" s="184">
        <v>0</v>
      </c>
      <c r="Y268" s="184">
        <v>0</v>
      </c>
      <c r="Z268" s="184">
        <v>0</v>
      </c>
      <c r="AA268" s="184">
        <v>0</v>
      </c>
      <c r="AB268" s="184">
        <v>0</v>
      </c>
      <c r="AC268" s="185">
        <v>34.700000000000003</v>
      </c>
      <c r="AD268" s="185">
        <v>44.7</v>
      </c>
      <c r="AE268" s="184">
        <v>0</v>
      </c>
      <c r="AF268" s="185">
        <v>0</v>
      </c>
      <c r="AG268" s="184">
        <v>0</v>
      </c>
      <c r="AH268" s="185">
        <v>0</v>
      </c>
      <c r="AI268" s="184">
        <v>0</v>
      </c>
      <c r="AJ268" s="643">
        <v>0</v>
      </c>
    </row>
    <row r="269" spans="1:36" x14ac:dyDescent="0.2">
      <c r="A269" s="440" t="s">
        <v>55</v>
      </c>
      <c r="B269" s="642">
        <v>14</v>
      </c>
      <c r="C269" s="184">
        <v>0</v>
      </c>
      <c r="D269" s="184">
        <v>12</v>
      </c>
      <c r="E269" s="184">
        <v>0</v>
      </c>
      <c r="F269" s="184">
        <v>2</v>
      </c>
      <c r="G269" s="184">
        <v>0</v>
      </c>
      <c r="H269" s="184">
        <v>0</v>
      </c>
      <c r="I269" s="184">
        <v>0</v>
      </c>
      <c r="J269" s="184">
        <v>0</v>
      </c>
      <c r="K269" s="184">
        <v>0</v>
      </c>
      <c r="L269" s="184">
        <v>0</v>
      </c>
      <c r="M269" s="654" t="s">
        <v>24</v>
      </c>
      <c r="N269" s="670" t="s">
        <v>55</v>
      </c>
      <c r="O269" s="642">
        <v>0</v>
      </c>
      <c r="P269" s="184">
        <v>1</v>
      </c>
      <c r="Q269" s="184">
        <v>0</v>
      </c>
      <c r="R269" s="184">
        <v>0</v>
      </c>
      <c r="S269" s="184">
        <v>4</v>
      </c>
      <c r="T269" s="184">
        <v>2</v>
      </c>
      <c r="U269" s="184">
        <v>4</v>
      </c>
      <c r="V269" s="184">
        <v>2</v>
      </c>
      <c r="W269" s="184">
        <v>0</v>
      </c>
      <c r="X269" s="184">
        <v>1</v>
      </c>
      <c r="Y269" s="184">
        <v>0</v>
      </c>
      <c r="Z269" s="184">
        <v>0</v>
      </c>
      <c r="AA269" s="184">
        <v>0</v>
      </c>
      <c r="AB269" s="184">
        <v>0</v>
      </c>
      <c r="AC269" s="185">
        <v>33.700000000000003</v>
      </c>
      <c r="AD269" s="185">
        <v>42.5</v>
      </c>
      <c r="AE269" s="184">
        <v>0</v>
      </c>
      <c r="AF269" s="185">
        <v>0</v>
      </c>
      <c r="AG269" s="184">
        <v>0</v>
      </c>
      <c r="AH269" s="185">
        <v>0</v>
      </c>
      <c r="AI269" s="184">
        <v>0</v>
      </c>
      <c r="AJ269" s="643">
        <v>0</v>
      </c>
    </row>
    <row r="270" spans="1:36" x14ac:dyDescent="0.2">
      <c r="A270" s="440" t="s">
        <v>91</v>
      </c>
      <c r="B270" s="642">
        <v>11</v>
      </c>
      <c r="C270" s="184">
        <v>0</v>
      </c>
      <c r="D270" s="184">
        <v>9</v>
      </c>
      <c r="E270" s="184">
        <v>0</v>
      </c>
      <c r="F270" s="184">
        <v>2</v>
      </c>
      <c r="G270" s="184">
        <v>0</v>
      </c>
      <c r="H270" s="184">
        <v>0</v>
      </c>
      <c r="I270" s="184">
        <v>0</v>
      </c>
      <c r="J270" s="184">
        <v>0</v>
      </c>
      <c r="K270" s="184">
        <v>0</v>
      </c>
      <c r="L270" s="184">
        <v>0</v>
      </c>
      <c r="M270" s="654" t="s">
        <v>24</v>
      </c>
      <c r="N270" s="670" t="s">
        <v>91</v>
      </c>
      <c r="O270" s="642">
        <v>0</v>
      </c>
      <c r="P270" s="184">
        <v>0</v>
      </c>
      <c r="Q270" s="184">
        <v>0</v>
      </c>
      <c r="R270" s="184">
        <v>0</v>
      </c>
      <c r="S270" s="184">
        <v>2</v>
      </c>
      <c r="T270" s="184">
        <v>1</v>
      </c>
      <c r="U270" s="184">
        <v>3</v>
      </c>
      <c r="V270" s="184">
        <v>3</v>
      </c>
      <c r="W270" s="184">
        <v>1</v>
      </c>
      <c r="X270" s="184">
        <v>1</v>
      </c>
      <c r="Y270" s="184">
        <v>0</v>
      </c>
      <c r="Z270" s="184">
        <v>0</v>
      </c>
      <c r="AA270" s="184">
        <v>0</v>
      </c>
      <c r="AB270" s="184">
        <v>0</v>
      </c>
      <c r="AC270" s="185">
        <v>38.799999999999997</v>
      </c>
      <c r="AD270" s="185">
        <v>48.4</v>
      </c>
      <c r="AE270" s="184">
        <v>0</v>
      </c>
      <c r="AF270" s="185">
        <v>0</v>
      </c>
      <c r="AG270" s="184">
        <v>0</v>
      </c>
      <c r="AH270" s="185">
        <v>0</v>
      </c>
      <c r="AI270" s="184">
        <v>0</v>
      </c>
      <c r="AJ270" s="643">
        <v>0</v>
      </c>
    </row>
    <row r="271" spans="1:36" x14ac:dyDescent="0.2">
      <c r="A271" s="440" t="s">
        <v>92</v>
      </c>
      <c r="B271" s="642">
        <v>9</v>
      </c>
      <c r="C271" s="184">
        <v>0</v>
      </c>
      <c r="D271" s="184">
        <v>9</v>
      </c>
      <c r="E271" s="184">
        <v>0</v>
      </c>
      <c r="F271" s="184">
        <v>0</v>
      </c>
      <c r="G271" s="184">
        <v>0</v>
      </c>
      <c r="H271" s="184">
        <v>0</v>
      </c>
      <c r="I271" s="184">
        <v>0</v>
      </c>
      <c r="J271" s="184">
        <v>0</v>
      </c>
      <c r="K271" s="184">
        <v>0</v>
      </c>
      <c r="L271" s="184">
        <v>0</v>
      </c>
      <c r="M271" s="654" t="s">
        <v>24</v>
      </c>
      <c r="N271" s="670" t="s">
        <v>92</v>
      </c>
      <c r="O271" s="642">
        <v>0</v>
      </c>
      <c r="P271" s="184">
        <v>0</v>
      </c>
      <c r="Q271" s="184">
        <v>0</v>
      </c>
      <c r="R271" s="184">
        <v>0</v>
      </c>
      <c r="S271" s="184">
        <v>2</v>
      </c>
      <c r="T271" s="184">
        <v>4</v>
      </c>
      <c r="U271" s="184">
        <v>2</v>
      </c>
      <c r="V271" s="184">
        <v>0</v>
      </c>
      <c r="W271" s="184">
        <v>1</v>
      </c>
      <c r="X271" s="184">
        <v>0</v>
      </c>
      <c r="Y271" s="184">
        <v>0</v>
      </c>
      <c r="Z271" s="184">
        <v>0</v>
      </c>
      <c r="AA271" s="184">
        <v>0</v>
      </c>
      <c r="AB271" s="184">
        <v>0</v>
      </c>
      <c r="AC271" s="185">
        <v>34.5</v>
      </c>
      <c r="AD271" s="185" t="s">
        <v>24</v>
      </c>
      <c r="AE271" s="184">
        <v>0</v>
      </c>
      <c r="AF271" s="185">
        <v>0</v>
      </c>
      <c r="AG271" s="184">
        <v>0</v>
      </c>
      <c r="AH271" s="185">
        <v>0</v>
      </c>
      <c r="AI271" s="184">
        <v>0</v>
      </c>
      <c r="AJ271" s="643">
        <v>0</v>
      </c>
    </row>
    <row r="272" spans="1:36" x14ac:dyDescent="0.2">
      <c r="A272" s="440" t="s">
        <v>93</v>
      </c>
      <c r="B272" s="642">
        <v>6</v>
      </c>
      <c r="C272" s="184">
        <v>0</v>
      </c>
      <c r="D272" s="184">
        <v>5</v>
      </c>
      <c r="E272" s="184">
        <v>0</v>
      </c>
      <c r="F272" s="184">
        <v>1</v>
      </c>
      <c r="G272" s="184">
        <v>0</v>
      </c>
      <c r="H272" s="184">
        <v>0</v>
      </c>
      <c r="I272" s="184">
        <v>0</v>
      </c>
      <c r="J272" s="184">
        <v>0</v>
      </c>
      <c r="K272" s="184">
        <v>0</v>
      </c>
      <c r="L272" s="184">
        <v>0</v>
      </c>
      <c r="M272" s="654" t="s">
        <v>24</v>
      </c>
      <c r="N272" s="670" t="s">
        <v>93</v>
      </c>
      <c r="O272" s="642">
        <v>0</v>
      </c>
      <c r="P272" s="184">
        <v>0</v>
      </c>
      <c r="Q272" s="184">
        <v>0</v>
      </c>
      <c r="R272" s="184">
        <v>0</v>
      </c>
      <c r="S272" s="184">
        <v>0</v>
      </c>
      <c r="T272" s="184">
        <v>1</v>
      </c>
      <c r="U272" s="184">
        <v>2</v>
      </c>
      <c r="V272" s="184">
        <v>1</v>
      </c>
      <c r="W272" s="184">
        <v>2</v>
      </c>
      <c r="X272" s="184">
        <v>0</v>
      </c>
      <c r="Y272" s="184">
        <v>0</v>
      </c>
      <c r="Z272" s="184">
        <v>0</v>
      </c>
      <c r="AA272" s="184">
        <v>0</v>
      </c>
      <c r="AB272" s="184">
        <v>0</v>
      </c>
      <c r="AC272" s="185">
        <v>39.700000000000003</v>
      </c>
      <c r="AD272" s="185" t="s">
        <v>24</v>
      </c>
      <c r="AE272" s="184">
        <v>0</v>
      </c>
      <c r="AF272" s="185">
        <v>0</v>
      </c>
      <c r="AG272" s="184">
        <v>0</v>
      </c>
      <c r="AH272" s="185">
        <v>0</v>
      </c>
      <c r="AI272" s="184">
        <v>0</v>
      </c>
      <c r="AJ272" s="643">
        <v>0</v>
      </c>
    </row>
    <row r="273" spans="1:36" x14ac:dyDescent="0.2">
      <c r="A273" s="440" t="s">
        <v>57</v>
      </c>
      <c r="B273" s="642">
        <v>9</v>
      </c>
      <c r="C273" s="184">
        <v>0</v>
      </c>
      <c r="D273" s="184">
        <v>8</v>
      </c>
      <c r="E273" s="184">
        <v>0</v>
      </c>
      <c r="F273" s="184">
        <v>1</v>
      </c>
      <c r="G273" s="184">
        <v>0</v>
      </c>
      <c r="H273" s="184">
        <v>0</v>
      </c>
      <c r="I273" s="184">
        <v>0</v>
      </c>
      <c r="J273" s="184">
        <v>0</v>
      </c>
      <c r="K273" s="184">
        <v>0</v>
      </c>
      <c r="L273" s="184">
        <v>0</v>
      </c>
      <c r="M273" s="654" t="s">
        <v>24</v>
      </c>
      <c r="N273" s="670" t="s">
        <v>57</v>
      </c>
      <c r="O273" s="642">
        <v>0</v>
      </c>
      <c r="P273" s="184">
        <v>0</v>
      </c>
      <c r="Q273" s="184">
        <v>0</v>
      </c>
      <c r="R273" s="184">
        <v>1</v>
      </c>
      <c r="S273" s="184">
        <v>0</v>
      </c>
      <c r="T273" s="184">
        <v>2</v>
      </c>
      <c r="U273" s="184">
        <v>3</v>
      </c>
      <c r="V273" s="184">
        <v>3</v>
      </c>
      <c r="W273" s="184">
        <v>0</v>
      </c>
      <c r="X273" s="184">
        <v>0</v>
      </c>
      <c r="Y273" s="184">
        <v>0</v>
      </c>
      <c r="Z273" s="184">
        <v>0</v>
      </c>
      <c r="AA273" s="184">
        <v>0</v>
      </c>
      <c r="AB273" s="184">
        <v>0</v>
      </c>
      <c r="AC273" s="185">
        <v>35.299999999999997</v>
      </c>
      <c r="AD273" s="185" t="s">
        <v>24</v>
      </c>
      <c r="AE273" s="184">
        <v>0</v>
      </c>
      <c r="AF273" s="185">
        <v>0</v>
      </c>
      <c r="AG273" s="184">
        <v>0</v>
      </c>
      <c r="AH273" s="185">
        <v>0</v>
      </c>
      <c r="AI273" s="184">
        <v>0</v>
      </c>
      <c r="AJ273" s="643">
        <v>0</v>
      </c>
    </row>
    <row r="274" spans="1:36" x14ac:dyDescent="0.2">
      <c r="A274" s="440" t="s">
        <v>94</v>
      </c>
      <c r="B274" s="642">
        <v>14</v>
      </c>
      <c r="C274" s="184">
        <v>0</v>
      </c>
      <c r="D274" s="184">
        <v>12</v>
      </c>
      <c r="E274" s="184">
        <v>0</v>
      </c>
      <c r="F274" s="184">
        <v>2</v>
      </c>
      <c r="G274" s="184">
        <v>0</v>
      </c>
      <c r="H274" s="184">
        <v>0</v>
      </c>
      <c r="I274" s="184">
        <v>0</v>
      </c>
      <c r="J274" s="184">
        <v>0</v>
      </c>
      <c r="K274" s="184">
        <v>0</v>
      </c>
      <c r="L274" s="184">
        <v>0</v>
      </c>
      <c r="M274" s="654" t="s">
        <v>24</v>
      </c>
      <c r="N274" s="670" t="s">
        <v>94</v>
      </c>
      <c r="O274" s="642">
        <v>0</v>
      </c>
      <c r="P274" s="184">
        <v>0</v>
      </c>
      <c r="Q274" s="184">
        <v>0</v>
      </c>
      <c r="R274" s="184">
        <v>0</v>
      </c>
      <c r="S274" s="184">
        <v>0</v>
      </c>
      <c r="T274" s="184">
        <v>4</v>
      </c>
      <c r="U274" s="184">
        <v>3</v>
      </c>
      <c r="V274" s="184">
        <v>5</v>
      </c>
      <c r="W274" s="184">
        <v>1</v>
      </c>
      <c r="X274" s="184">
        <v>1</v>
      </c>
      <c r="Y274" s="184">
        <v>0</v>
      </c>
      <c r="Z274" s="184">
        <v>0</v>
      </c>
      <c r="AA274" s="184">
        <v>0</v>
      </c>
      <c r="AB274" s="184">
        <v>0</v>
      </c>
      <c r="AC274" s="185">
        <v>39.299999999999997</v>
      </c>
      <c r="AD274" s="185">
        <v>45.1</v>
      </c>
      <c r="AE274" s="184">
        <v>0</v>
      </c>
      <c r="AF274" s="185">
        <v>0</v>
      </c>
      <c r="AG274" s="184">
        <v>0</v>
      </c>
      <c r="AH274" s="185">
        <v>0</v>
      </c>
      <c r="AI274" s="184">
        <v>0</v>
      </c>
      <c r="AJ274" s="643">
        <v>0</v>
      </c>
    </row>
    <row r="275" spans="1:36" x14ac:dyDescent="0.2">
      <c r="A275" s="440" t="s">
        <v>95</v>
      </c>
      <c r="B275" s="642">
        <v>11</v>
      </c>
      <c r="C275" s="184">
        <v>0</v>
      </c>
      <c r="D275" s="184">
        <v>10</v>
      </c>
      <c r="E275" s="184">
        <v>1</v>
      </c>
      <c r="F275" s="184">
        <v>0</v>
      </c>
      <c r="G275" s="184">
        <v>0</v>
      </c>
      <c r="H275" s="184">
        <v>0</v>
      </c>
      <c r="I275" s="184">
        <v>0</v>
      </c>
      <c r="J275" s="184">
        <v>0</v>
      </c>
      <c r="K275" s="184">
        <v>0</v>
      </c>
      <c r="L275" s="184">
        <v>0</v>
      </c>
      <c r="M275" s="654" t="s">
        <v>24</v>
      </c>
      <c r="N275" s="670" t="s">
        <v>95</v>
      </c>
      <c r="O275" s="642">
        <v>0</v>
      </c>
      <c r="P275" s="184">
        <v>0</v>
      </c>
      <c r="Q275" s="184">
        <v>0</v>
      </c>
      <c r="R275" s="184">
        <v>0</v>
      </c>
      <c r="S275" s="184">
        <v>0</v>
      </c>
      <c r="T275" s="184">
        <v>3</v>
      </c>
      <c r="U275" s="184">
        <v>2</v>
      </c>
      <c r="V275" s="184">
        <v>3</v>
      </c>
      <c r="W275" s="184">
        <v>2</v>
      </c>
      <c r="X275" s="184">
        <v>1</v>
      </c>
      <c r="Y275" s="184">
        <v>0</v>
      </c>
      <c r="Z275" s="184">
        <v>0</v>
      </c>
      <c r="AA275" s="184">
        <v>0</v>
      </c>
      <c r="AB275" s="184">
        <v>0</v>
      </c>
      <c r="AC275" s="185">
        <v>40.9</v>
      </c>
      <c r="AD275" s="185">
        <v>47.9</v>
      </c>
      <c r="AE275" s="184">
        <v>0</v>
      </c>
      <c r="AF275" s="185">
        <v>0</v>
      </c>
      <c r="AG275" s="184">
        <v>0</v>
      </c>
      <c r="AH275" s="185">
        <v>0</v>
      </c>
      <c r="AI275" s="184">
        <v>0</v>
      </c>
      <c r="AJ275" s="643">
        <v>0</v>
      </c>
    </row>
    <row r="276" spans="1:36" x14ac:dyDescent="0.2">
      <c r="A276" s="440" t="s">
        <v>96</v>
      </c>
      <c r="B276" s="642">
        <v>6</v>
      </c>
      <c r="C276" s="184">
        <v>0</v>
      </c>
      <c r="D276" s="184">
        <v>5</v>
      </c>
      <c r="E276" s="184">
        <v>0</v>
      </c>
      <c r="F276" s="184">
        <v>1</v>
      </c>
      <c r="G276" s="184">
        <v>0</v>
      </c>
      <c r="H276" s="184">
        <v>0</v>
      </c>
      <c r="I276" s="184">
        <v>0</v>
      </c>
      <c r="J276" s="184">
        <v>0</v>
      </c>
      <c r="K276" s="184">
        <v>0</v>
      </c>
      <c r="L276" s="184">
        <v>0</v>
      </c>
      <c r="M276" s="654" t="s">
        <v>24</v>
      </c>
      <c r="N276" s="670" t="s">
        <v>96</v>
      </c>
      <c r="O276" s="642">
        <v>0</v>
      </c>
      <c r="P276" s="184">
        <v>0</v>
      </c>
      <c r="Q276" s="184">
        <v>0</v>
      </c>
      <c r="R276" s="184">
        <v>0</v>
      </c>
      <c r="S276" s="184">
        <v>0</v>
      </c>
      <c r="T276" s="184">
        <v>1</v>
      </c>
      <c r="U276" s="184">
        <v>3</v>
      </c>
      <c r="V276" s="184">
        <v>1</v>
      </c>
      <c r="W276" s="184">
        <v>0</v>
      </c>
      <c r="X276" s="184">
        <v>1</v>
      </c>
      <c r="Y276" s="184">
        <v>0</v>
      </c>
      <c r="Z276" s="184">
        <v>0</v>
      </c>
      <c r="AA276" s="184">
        <v>0</v>
      </c>
      <c r="AB276" s="184">
        <v>0</v>
      </c>
      <c r="AC276" s="185">
        <v>40.200000000000003</v>
      </c>
      <c r="AD276" s="185" t="s">
        <v>24</v>
      </c>
      <c r="AE276" s="184">
        <v>0</v>
      </c>
      <c r="AF276" s="185">
        <v>0</v>
      </c>
      <c r="AG276" s="184">
        <v>0</v>
      </c>
      <c r="AH276" s="185">
        <v>0</v>
      </c>
      <c r="AI276" s="184">
        <v>0</v>
      </c>
      <c r="AJ276" s="643">
        <v>0</v>
      </c>
    </row>
    <row r="277" spans="1:36" x14ac:dyDescent="0.2">
      <c r="A277" s="440" t="s">
        <v>58</v>
      </c>
      <c r="B277" s="642">
        <v>11</v>
      </c>
      <c r="C277" s="184">
        <v>0</v>
      </c>
      <c r="D277" s="184">
        <v>9</v>
      </c>
      <c r="E277" s="184">
        <v>0</v>
      </c>
      <c r="F277" s="184">
        <v>2</v>
      </c>
      <c r="G277" s="184">
        <v>0</v>
      </c>
      <c r="H277" s="184">
        <v>0</v>
      </c>
      <c r="I277" s="184">
        <v>0</v>
      </c>
      <c r="J277" s="184">
        <v>0</v>
      </c>
      <c r="K277" s="184">
        <v>0</v>
      </c>
      <c r="L277" s="184">
        <v>0</v>
      </c>
      <c r="M277" s="654" t="s">
        <v>24</v>
      </c>
      <c r="N277" s="670" t="s">
        <v>58</v>
      </c>
      <c r="O277" s="642">
        <v>0</v>
      </c>
      <c r="P277" s="184">
        <v>0</v>
      </c>
      <c r="Q277" s="184">
        <v>0</v>
      </c>
      <c r="R277" s="184">
        <v>0</v>
      </c>
      <c r="S277" s="184">
        <v>0</v>
      </c>
      <c r="T277" s="184">
        <v>1</v>
      </c>
      <c r="U277" s="184">
        <v>5</v>
      </c>
      <c r="V277" s="184">
        <v>5</v>
      </c>
      <c r="W277" s="184">
        <v>0</v>
      </c>
      <c r="X277" s="184">
        <v>0</v>
      </c>
      <c r="Y277" s="184">
        <v>0</v>
      </c>
      <c r="Z277" s="184">
        <v>0</v>
      </c>
      <c r="AA277" s="184">
        <v>0</v>
      </c>
      <c r="AB277" s="184">
        <v>0</v>
      </c>
      <c r="AC277" s="185">
        <v>38.799999999999997</v>
      </c>
      <c r="AD277" s="185">
        <v>41.7</v>
      </c>
      <c r="AE277" s="184">
        <v>0</v>
      </c>
      <c r="AF277" s="185">
        <v>0</v>
      </c>
      <c r="AG277" s="184">
        <v>0</v>
      </c>
      <c r="AH277" s="185">
        <v>0</v>
      </c>
      <c r="AI277" s="184">
        <v>0</v>
      </c>
      <c r="AJ277" s="643">
        <v>0</v>
      </c>
    </row>
    <row r="278" spans="1:36" x14ac:dyDescent="0.2">
      <c r="A278" s="440" t="s">
        <v>97</v>
      </c>
      <c r="B278" s="642">
        <v>15</v>
      </c>
      <c r="C278" s="184">
        <v>0</v>
      </c>
      <c r="D278" s="184">
        <v>13</v>
      </c>
      <c r="E278" s="184">
        <v>0</v>
      </c>
      <c r="F278" s="184">
        <v>2</v>
      </c>
      <c r="G278" s="184">
        <v>0</v>
      </c>
      <c r="H278" s="184">
        <v>0</v>
      </c>
      <c r="I278" s="184">
        <v>0</v>
      </c>
      <c r="J278" s="184">
        <v>0</v>
      </c>
      <c r="K278" s="184">
        <v>0</v>
      </c>
      <c r="L278" s="184">
        <v>0</v>
      </c>
      <c r="M278" s="654" t="s">
        <v>24</v>
      </c>
      <c r="N278" s="670" t="s">
        <v>97</v>
      </c>
      <c r="O278" s="642">
        <v>0</v>
      </c>
      <c r="P278" s="184">
        <v>0</v>
      </c>
      <c r="Q278" s="184">
        <v>0</v>
      </c>
      <c r="R278" s="184">
        <v>0</v>
      </c>
      <c r="S278" s="184">
        <v>0</v>
      </c>
      <c r="T278" s="184">
        <v>1</v>
      </c>
      <c r="U278" s="184">
        <v>7</v>
      </c>
      <c r="V278" s="184">
        <v>5</v>
      </c>
      <c r="W278" s="184">
        <v>1</v>
      </c>
      <c r="X278" s="184">
        <v>1</v>
      </c>
      <c r="Y278" s="184">
        <v>0</v>
      </c>
      <c r="Z278" s="184">
        <v>0</v>
      </c>
      <c r="AA278" s="184">
        <v>0</v>
      </c>
      <c r="AB278" s="184">
        <v>0</v>
      </c>
      <c r="AC278" s="185">
        <v>40.200000000000003</v>
      </c>
      <c r="AD278" s="185">
        <v>44.6</v>
      </c>
      <c r="AE278" s="184">
        <v>0</v>
      </c>
      <c r="AF278" s="185">
        <v>0</v>
      </c>
      <c r="AG278" s="184">
        <v>0</v>
      </c>
      <c r="AH278" s="185">
        <v>0</v>
      </c>
      <c r="AI278" s="184">
        <v>0</v>
      </c>
      <c r="AJ278" s="643">
        <v>0</v>
      </c>
    </row>
    <row r="279" spans="1:36" x14ac:dyDescent="0.2">
      <c r="A279" s="440" t="s">
        <v>98</v>
      </c>
      <c r="B279" s="642">
        <v>5</v>
      </c>
      <c r="C279" s="184">
        <v>0</v>
      </c>
      <c r="D279" s="184">
        <v>5</v>
      </c>
      <c r="E279" s="184">
        <v>0</v>
      </c>
      <c r="F279" s="184">
        <v>0</v>
      </c>
      <c r="G279" s="184">
        <v>0</v>
      </c>
      <c r="H279" s="184">
        <v>0</v>
      </c>
      <c r="I279" s="184">
        <v>0</v>
      </c>
      <c r="J279" s="184">
        <v>0</v>
      </c>
      <c r="K279" s="184">
        <v>0</v>
      </c>
      <c r="L279" s="184">
        <v>0</v>
      </c>
      <c r="M279" s="654" t="s">
        <v>24</v>
      </c>
      <c r="N279" s="670" t="s">
        <v>98</v>
      </c>
      <c r="O279" s="642">
        <v>0</v>
      </c>
      <c r="P279" s="184">
        <v>0</v>
      </c>
      <c r="Q279" s="184">
        <v>0</v>
      </c>
      <c r="R279" s="184">
        <v>0</v>
      </c>
      <c r="S279" s="184">
        <v>0</v>
      </c>
      <c r="T279" s="184">
        <v>0</v>
      </c>
      <c r="U279" s="184">
        <v>0</v>
      </c>
      <c r="V279" s="184">
        <v>2</v>
      </c>
      <c r="W279" s="184">
        <v>0</v>
      </c>
      <c r="X279" s="184">
        <v>3</v>
      </c>
      <c r="Y279" s="184">
        <v>0</v>
      </c>
      <c r="Z279" s="184">
        <v>0</v>
      </c>
      <c r="AA279" s="184">
        <v>0</v>
      </c>
      <c r="AB279" s="184">
        <v>0</v>
      </c>
      <c r="AC279" s="185">
        <v>49.9</v>
      </c>
      <c r="AD279" s="185" t="s">
        <v>24</v>
      </c>
      <c r="AE279" s="184">
        <v>0</v>
      </c>
      <c r="AF279" s="185">
        <v>0</v>
      </c>
      <c r="AG279" s="184">
        <v>0</v>
      </c>
      <c r="AH279" s="185">
        <v>0</v>
      </c>
      <c r="AI279" s="184">
        <v>0</v>
      </c>
      <c r="AJ279" s="643">
        <v>0</v>
      </c>
    </row>
    <row r="280" spans="1:36" x14ac:dyDescent="0.2">
      <c r="A280" s="440" t="s">
        <v>99</v>
      </c>
      <c r="B280" s="642">
        <v>7</v>
      </c>
      <c r="C280" s="184">
        <v>1</v>
      </c>
      <c r="D280" s="184">
        <v>4</v>
      </c>
      <c r="E280" s="184">
        <v>0</v>
      </c>
      <c r="F280" s="184">
        <v>1</v>
      </c>
      <c r="G280" s="184">
        <v>1</v>
      </c>
      <c r="H280" s="184">
        <v>0</v>
      </c>
      <c r="I280" s="184">
        <v>0</v>
      </c>
      <c r="J280" s="184">
        <v>0</v>
      </c>
      <c r="K280" s="184">
        <v>0</v>
      </c>
      <c r="L280" s="184">
        <v>0</v>
      </c>
      <c r="M280" s="654" t="s">
        <v>24</v>
      </c>
      <c r="N280" s="670" t="s">
        <v>99</v>
      </c>
      <c r="O280" s="642">
        <v>0</v>
      </c>
      <c r="P280" s="184">
        <v>1</v>
      </c>
      <c r="Q280" s="184">
        <v>0</v>
      </c>
      <c r="R280" s="184">
        <v>0</v>
      </c>
      <c r="S280" s="184">
        <v>1</v>
      </c>
      <c r="T280" s="184">
        <v>2</v>
      </c>
      <c r="U280" s="184">
        <v>0</v>
      </c>
      <c r="V280" s="184">
        <v>3</v>
      </c>
      <c r="W280" s="184">
        <v>0</v>
      </c>
      <c r="X280" s="184">
        <v>0</v>
      </c>
      <c r="Y280" s="184">
        <v>0</v>
      </c>
      <c r="Z280" s="184">
        <v>0</v>
      </c>
      <c r="AA280" s="184">
        <v>0</v>
      </c>
      <c r="AB280" s="184">
        <v>0</v>
      </c>
      <c r="AC280" s="185">
        <v>33.700000000000003</v>
      </c>
      <c r="AD280" s="185" t="s">
        <v>24</v>
      </c>
      <c r="AE280" s="184">
        <v>0</v>
      </c>
      <c r="AF280" s="185">
        <v>0</v>
      </c>
      <c r="AG280" s="184">
        <v>0</v>
      </c>
      <c r="AH280" s="185">
        <v>0</v>
      </c>
      <c r="AI280" s="184">
        <v>0</v>
      </c>
      <c r="AJ280" s="643">
        <v>0</v>
      </c>
    </row>
    <row r="281" spans="1:36" x14ac:dyDescent="0.2">
      <c r="A281" s="440" t="s">
        <v>60</v>
      </c>
      <c r="B281" s="642">
        <v>7</v>
      </c>
      <c r="C281" s="184">
        <v>0</v>
      </c>
      <c r="D281" s="184">
        <v>5</v>
      </c>
      <c r="E281" s="184">
        <v>0</v>
      </c>
      <c r="F281" s="184">
        <v>2</v>
      </c>
      <c r="G281" s="184">
        <v>0</v>
      </c>
      <c r="H281" s="184">
        <v>0</v>
      </c>
      <c r="I281" s="184">
        <v>0</v>
      </c>
      <c r="J281" s="184">
        <v>0</v>
      </c>
      <c r="K281" s="184">
        <v>0</v>
      </c>
      <c r="L281" s="184">
        <v>0</v>
      </c>
      <c r="M281" s="654" t="s">
        <v>24</v>
      </c>
      <c r="N281" s="670" t="s">
        <v>60</v>
      </c>
      <c r="O281" s="642">
        <v>0</v>
      </c>
      <c r="P281" s="184">
        <v>0</v>
      </c>
      <c r="Q281" s="184">
        <v>0</v>
      </c>
      <c r="R281" s="184">
        <v>0</v>
      </c>
      <c r="S281" s="184">
        <v>0</v>
      </c>
      <c r="T281" s="184">
        <v>6</v>
      </c>
      <c r="U281" s="184">
        <v>1</v>
      </c>
      <c r="V281" s="184">
        <v>0</v>
      </c>
      <c r="W281" s="184">
        <v>0</v>
      </c>
      <c r="X281" s="184">
        <v>0</v>
      </c>
      <c r="Y281" s="184">
        <v>0</v>
      </c>
      <c r="Z281" s="184">
        <v>0</v>
      </c>
      <c r="AA281" s="184">
        <v>0</v>
      </c>
      <c r="AB281" s="184">
        <v>0</v>
      </c>
      <c r="AC281" s="185">
        <v>33.200000000000003</v>
      </c>
      <c r="AD281" s="185" t="s">
        <v>24</v>
      </c>
      <c r="AE281" s="184">
        <v>0</v>
      </c>
      <c r="AF281" s="185">
        <v>0</v>
      </c>
      <c r="AG281" s="184">
        <v>0</v>
      </c>
      <c r="AH281" s="185">
        <v>0</v>
      </c>
      <c r="AI281" s="184">
        <v>0</v>
      </c>
      <c r="AJ281" s="643">
        <v>0</v>
      </c>
    </row>
    <row r="282" spans="1:36" x14ac:dyDescent="0.2">
      <c r="A282" s="440" t="s">
        <v>100</v>
      </c>
      <c r="B282" s="642">
        <v>7</v>
      </c>
      <c r="C282" s="184">
        <v>1</v>
      </c>
      <c r="D282" s="184">
        <v>6</v>
      </c>
      <c r="E282" s="184">
        <v>0</v>
      </c>
      <c r="F282" s="184">
        <v>0</v>
      </c>
      <c r="G282" s="184">
        <v>0</v>
      </c>
      <c r="H282" s="184">
        <v>0</v>
      </c>
      <c r="I282" s="184">
        <v>0</v>
      </c>
      <c r="J282" s="184">
        <v>0</v>
      </c>
      <c r="K282" s="184">
        <v>0</v>
      </c>
      <c r="L282" s="184">
        <v>0</v>
      </c>
      <c r="M282" s="654" t="s">
        <v>24</v>
      </c>
      <c r="N282" s="670" t="s">
        <v>100</v>
      </c>
      <c r="O282" s="642">
        <v>1</v>
      </c>
      <c r="P282" s="184">
        <v>0</v>
      </c>
      <c r="Q282" s="184">
        <v>0</v>
      </c>
      <c r="R282" s="184">
        <v>0</v>
      </c>
      <c r="S282" s="184">
        <v>0</v>
      </c>
      <c r="T282" s="184">
        <v>2</v>
      </c>
      <c r="U282" s="184">
        <v>1</v>
      </c>
      <c r="V282" s="184">
        <v>3</v>
      </c>
      <c r="W282" s="184">
        <v>0</v>
      </c>
      <c r="X282" s="184">
        <v>0</v>
      </c>
      <c r="Y282" s="184">
        <v>0</v>
      </c>
      <c r="Z282" s="184">
        <v>0</v>
      </c>
      <c r="AA282" s="184">
        <v>0</v>
      </c>
      <c r="AB282" s="184">
        <v>0</v>
      </c>
      <c r="AC282" s="185">
        <v>34</v>
      </c>
      <c r="AD282" s="185" t="s">
        <v>24</v>
      </c>
      <c r="AE282" s="184">
        <v>0</v>
      </c>
      <c r="AF282" s="185">
        <v>0</v>
      </c>
      <c r="AG282" s="184">
        <v>0</v>
      </c>
      <c r="AH282" s="185">
        <v>0</v>
      </c>
      <c r="AI282" s="184">
        <v>0</v>
      </c>
      <c r="AJ282" s="643">
        <v>0</v>
      </c>
    </row>
    <row r="283" spans="1:36" x14ac:dyDescent="0.2">
      <c r="A283" s="440" t="s">
        <v>101</v>
      </c>
      <c r="B283" s="642">
        <v>5</v>
      </c>
      <c r="C283" s="184">
        <v>0</v>
      </c>
      <c r="D283" s="184">
        <v>4</v>
      </c>
      <c r="E283" s="184">
        <v>0</v>
      </c>
      <c r="F283" s="184">
        <v>1</v>
      </c>
      <c r="G283" s="184">
        <v>0</v>
      </c>
      <c r="H283" s="184">
        <v>0</v>
      </c>
      <c r="I283" s="184">
        <v>0</v>
      </c>
      <c r="J283" s="184">
        <v>0</v>
      </c>
      <c r="K283" s="184">
        <v>0</v>
      </c>
      <c r="L283" s="184">
        <v>0</v>
      </c>
      <c r="M283" s="654" t="s">
        <v>24</v>
      </c>
      <c r="N283" s="670" t="s">
        <v>101</v>
      </c>
      <c r="O283" s="642">
        <v>0</v>
      </c>
      <c r="P283" s="184">
        <v>0</v>
      </c>
      <c r="Q283" s="184">
        <v>0</v>
      </c>
      <c r="R283" s="184">
        <v>0</v>
      </c>
      <c r="S283" s="184">
        <v>0</v>
      </c>
      <c r="T283" s="184">
        <v>0</v>
      </c>
      <c r="U283" s="184">
        <v>2</v>
      </c>
      <c r="V283" s="184">
        <v>2</v>
      </c>
      <c r="W283" s="184">
        <v>1</v>
      </c>
      <c r="X283" s="184">
        <v>0</v>
      </c>
      <c r="Y283" s="184">
        <v>0</v>
      </c>
      <c r="Z283" s="184">
        <v>0</v>
      </c>
      <c r="AA283" s="184">
        <v>0</v>
      </c>
      <c r="AB283" s="184">
        <v>0</v>
      </c>
      <c r="AC283" s="185">
        <v>40.700000000000003</v>
      </c>
      <c r="AD283" s="185" t="s">
        <v>24</v>
      </c>
      <c r="AE283" s="184">
        <v>0</v>
      </c>
      <c r="AF283" s="185">
        <v>0</v>
      </c>
      <c r="AG283" s="184">
        <v>0</v>
      </c>
      <c r="AH283" s="185">
        <v>0</v>
      </c>
      <c r="AI283" s="184">
        <v>0</v>
      </c>
      <c r="AJ283" s="643">
        <v>0</v>
      </c>
    </row>
    <row r="284" spans="1:36" x14ac:dyDescent="0.2">
      <c r="A284" s="440" t="s">
        <v>102</v>
      </c>
      <c r="B284" s="642">
        <v>3</v>
      </c>
      <c r="C284" s="184">
        <v>0</v>
      </c>
      <c r="D284" s="184">
        <v>3</v>
      </c>
      <c r="E284" s="184">
        <v>0</v>
      </c>
      <c r="F284" s="184">
        <v>0</v>
      </c>
      <c r="G284" s="184">
        <v>0</v>
      </c>
      <c r="H284" s="184">
        <v>0</v>
      </c>
      <c r="I284" s="184">
        <v>0</v>
      </c>
      <c r="J284" s="184">
        <v>0</v>
      </c>
      <c r="K284" s="184">
        <v>0</v>
      </c>
      <c r="L284" s="184">
        <v>0</v>
      </c>
      <c r="M284" s="654" t="s">
        <v>24</v>
      </c>
      <c r="N284" s="670" t="s">
        <v>102</v>
      </c>
      <c r="O284" s="642">
        <v>0</v>
      </c>
      <c r="P284" s="184">
        <v>0</v>
      </c>
      <c r="Q284" s="184">
        <v>0</v>
      </c>
      <c r="R284" s="184">
        <v>0</v>
      </c>
      <c r="S284" s="184">
        <v>0</v>
      </c>
      <c r="T284" s="184">
        <v>0</v>
      </c>
      <c r="U284" s="184">
        <v>1</v>
      </c>
      <c r="V284" s="184">
        <v>1</v>
      </c>
      <c r="W284" s="184">
        <v>1</v>
      </c>
      <c r="X284" s="184">
        <v>0</v>
      </c>
      <c r="Y284" s="184">
        <v>0</v>
      </c>
      <c r="Z284" s="184">
        <v>0</v>
      </c>
      <c r="AA284" s="184">
        <v>0</v>
      </c>
      <c r="AB284" s="184">
        <v>0</v>
      </c>
      <c r="AC284" s="185">
        <v>43</v>
      </c>
      <c r="AD284" s="185" t="s">
        <v>24</v>
      </c>
      <c r="AE284" s="184">
        <v>0</v>
      </c>
      <c r="AF284" s="185">
        <v>0</v>
      </c>
      <c r="AG284" s="184">
        <v>0</v>
      </c>
      <c r="AH284" s="185">
        <v>0</v>
      </c>
      <c r="AI284" s="184">
        <v>0</v>
      </c>
      <c r="AJ284" s="643">
        <v>0</v>
      </c>
    </row>
    <row r="285" spans="1:36" x14ac:dyDescent="0.2">
      <c r="A285" s="440" t="s">
        <v>62</v>
      </c>
      <c r="B285" s="642">
        <v>8</v>
      </c>
      <c r="C285" s="184">
        <v>0</v>
      </c>
      <c r="D285" s="184">
        <v>7</v>
      </c>
      <c r="E285" s="184">
        <v>0</v>
      </c>
      <c r="F285" s="184">
        <v>1</v>
      </c>
      <c r="G285" s="184">
        <v>0</v>
      </c>
      <c r="H285" s="184">
        <v>0</v>
      </c>
      <c r="I285" s="184">
        <v>0</v>
      </c>
      <c r="J285" s="184">
        <v>0</v>
      </c>
      <c r="K285" s="184">
        <v>0</v>
      </c>
      <c r="L285" s="184">
        <v>0</v>
      </c>
      <c r="M285" s="654" t="s">
        <v>24</v>
      </c>
      <c r="N285" s="670" t="s">
        <v>62</v>
      </c>
      <c r="O285" s="642">
        <v>0</v>
      </c>
      <c r="P285" s="184">
        <v>0</v>
      </c>
      <c r="Q285" s="184">
        <v>0</v>
      </c>
      <c r="R285" s="184">
        <v>0</v>
      </c>
      <c r="S285" s="184">
        <v>0</v>
      </c>
      <c r="T285" s="184">
        <v>3</v>
      </c>
      <c r="U285" s="184">
        <v>3</v>
      </c>
      <c r="V285" s="184">
        <v>2</v>
      </c>
      <c r="W285" s="184">
        <v>0</v>
      </c>
      <c r="X285" s="184">
        <v>0</v>
      </c>
      <c r="Y285" s="184">
        <v>0</v>
      </c>
      <c r="Z285" s="184">
        <v>0</v>
      </c>
      <c r="AA285" s="184">
        <v>0</v>
      </c>
      <c r="AB285" s="184">
        <v>0</v>
      </c>
      <c r="AC285" s="185">
        <v>37.700000000000003</v>
      </c>
      <c r="AD285" s="185" t="s">
        <v>24</v>
      </c>
      <c r="AE285" s="184">
        <v>0</v>
      </c>
      <c r="AF285" s="185">
        <v>0</v>
      </c>
      <c r="AG285" s="184">
        <v>0</v>
      </c>
      <c r="AH285" s="185">
        <v>0</v>
      </c>
      <c r="AI285" s="184">
        <v>0</v>
      </c>
      <c r="AJ285" s="643">
        <v>0</v>
      </c>
    </row>
    <row r="286" spans="1:36" x14ac:dyDescent="0.2">
      <c r="A286" s="440" t="s">
        <v>103</v>
      </c>
      <c r="B286" s="642">
        <v>7</v>
      </c>
      <c r="C286" s="184">
        <v>0</v>
      </c>
      <c r="D286" s="184">
        <v>6</v>
      </c>
      <c r="E286" s="184">
        <v>0</v>
      </c>
      <c r="F286" s="184">
        <v>1</v>
      </c>
      <c r="G286" s="184">
        <v>0</v>
      </c>
      <c r="H286" s="184">
        <v>0</v>
      </c>
      <c r="I286" s="184">
        <v>0</v>
      </c>
      <c r="J286" s="184">
        <v>0</v>
      </c>
      <c r="K286" s="184">
        <v>0</v>
      </c>
      <c r="L286" s="184">
        <v>0</v>
      </c>
      <c r="M286" s="654" t="s">
        <v>24</v>
      </c>
      <c r="N286" s="670" t="s">
        <v>103</v>
      </c>
      <c r="O286" s="642">
        <v>0</v>
      </c>
      <c r="P286" s="184">
        <v>0</v>
      </c>
      <c r="Q286" s="184">
        <v>0</v>
      </c>
      <c r="R286" s="184">
        <v>0</v>
      </c>
      <c r="S286" s="184">
        <v>2</v>
      </c>
      <c r="T286" s="184">
        <v>0</v>
      </c>
      <c r="U286" s="184">
        <v>1</v>
      </c>
      <c r="V286" s="184">
        <v>2</v>
      </c>
      <c r="W286" s="184">
        <v>1</v>
      </c>
      <c r="X286" s="184">
        <v>1</v>
      </c>
      <c r="Y286" s="184">
        <v>0</v>
      </c>
      <c r="Z286" s="184">
        <v>0</v>
      </c>
      <c r="AA286" s="184">
        <v>0</v>
      </c>
      <c r="AB286" s="184">
        <v>0</v>
      </c>
      <c r="AC286" s="185">
        <v>39.1</v>
      </c>
      <c r="AD286" s="185" t="s">
        <v>24</v>
      </c>
      <c r="AE286" s="184">
        <v>0</v>
      </c>
      <c r="AF286" s="185">
        <v>0</v>
      </c>
      <c r="AG286" s="184">
        <v>0</v>
      </c>
      <c r="AH286" s="185">
        <v>0</v>
      </c>
      <c r="AI286" s="184">
        <v>0</v>
      </c>
      <c r="AJ286" s="643">
        <v>0</v>
      </c>
    </row>
    <row r="287" spans="1:36" x14ac:dyDescent="0.2">
      <c r="A287" s="440" t="s">
        <v>104</v>
      </c>
      <c r="B287" s="642">
        <v>8</v>
      </c>
      <c r="C287" s="184">
        <v>0</v>
      </c>
      <c r="D287" s="184">
        <v>6</v>
      </c>
      <c r="E287" s="184">
        <v>0</v>
      </c>
      <c r="F287" s="184">
        <v>1</v>
      </c>
      <c r="G287" s="184">
        <v>1</v>
      </c>
      <c r="H287" s="184">
        <v>0</v>
      </c>
      <c r="I287" s="184">
        <v>0</v>
      </c>
      <c r="J287" s="184">
        <v>0</v>
      </c>
      <c r="K287" s="184">
        <v>0</v>
      </c>
      <c r="L287" s="184">
        <v>0</v>
      </c>
      <c r="M287" s="654" t="s">
        <v>24</v>
      </c>
      <c r="N287" s="670" t="s">
        <v>104</v>
      </c>
      <c r="O287" s="642">
        <v>0</v>
      </c>
      <c r="P287" s="184">
        <v>0</v>
      </c>
      <c r="Q287" s="184">
        <v>0</v>
      </c>
      <c r="R287" s="184">
        <v>0</v>
      </c>
      <c r="S287" s="184">
        <v>3</v>
      </c>
      <c r="T287" s="184">
        <v>1</v>
      </c>
      <c r="U287" s="184">
        <v>0</v>
      </c>
      <c r="V287" s="184">
        <v>1</v>
      </c>
      <c r="W287" s="184">
        <v>3</v>
      </c>
      <c r="X287" s="184">
        <v>0</v>
      </c>
      <c r="Y287" s="184">
        <v>0</v>
      </c>
      <c r="Z287" s="184">
        <v>0</v>
      </c>
      <c r="AA287" s="184">
        <v>0</v>
      </c>
      <c r="AB287" s="184">
        <v>0</v>
      </c>
      <c r="AC287" s="185">
        <v>37.299999999999997</v>
      </c>
      <c r="AD287" s="185" t="s">
        <v>24</v>
      </c>
      <c r="AE287" s="184">
        <v>0</v>
      </c>
      <c r="AF287" s="185">
        <v>0</v>
      </c>
      <c r="AG287" s="184">
        <v>0</v>
      </c>
      <c r="AH287" s="185">
        <v>0</v>
      </c>
      <c r="AI287" s="184">
        <v>0</v>
      </c>
      <c r="AJ287" s="643">
        <v>0</v>
      </c>
    </row>
    <row r="288" spans="1:36" x14ac:dyDescent="0.2">
      <c r="A288" s="440" t="s">
        <v>105</v>
      </c>
      <c r="B288" s="642">
        <v>10</v>
      </c>
      <c r="C288" s="184">
        <v>0</v>
      </c>
      <c r="D288" s="184">
        <v>6</v>
      </c>
      <c r="E288" s="184">
        <v>1</v>
      </c>
      <c r="F288" s="184">
        <v>2</v>
      </c>
      <c r="G288" s="184">
        <v>0</v>
      </c>
      <c r="H288" s="184">
        <v>1</v>
      </c>
      <c r="I288" s="184">
        <v>0</v>
      </c>
      <c r="J288" s="184">
        <v>0</v>
      </c>
      <c r="K288" s="184">
        <v>0</v>
      </c>
      <c r="L288" s="184">
        <v>0</v>
      </c>
      <c r="M288" s="654" t="s">
        <v>24</v>
      </c>
      <c r="N288" s="670" t="s">
        <v>105</v>
      </c>
      <c r="O288" s="642">
        <v>0</v>
      </c>
      <c r="P288" s="184">
        <v>1</v>
      </c>
      <c r="Q288" s="184">
        <v>0</v>
      </c>
      <c r="R288" s="184">
        <v>0</v>
      </c>
      <c r="S288" s="184">
        <v>0</v>
      </c>
      <c r="T288" s="184">
        <v>4</v>
      </c>
      <c r="U288" s="184">
        <v>1</v>
      </c>
      <c r="V288" s="184">
        <v>3</v>
      </c>
      <c r="W288" s="184">
        <v>1</v>
      </c>
      <c r="X288" s="184">
        <v>0</v>
      </c>
      <c r="Y288" s="184">
        <v>0</v>
      </c>
      <c r="Z288" s="184">
        <v>0</v>
      </c>
      <c r="AA288" s="184">
        <v>0</v>
      </c>
      <c r="AB288" s="184">
        <v>0</v>
      </c>
      <c r="AC288" s="185">
        <v>34.799999999999997</v>
      </c>
      <c r="AD288" s="185" t="s">
        <v>24</v>
      </c>
      <c r="AE288" s="184">
        <v>0</v>
      </c>
      <c r="AF288" s="185">
        <v>0</v>
      </c>
      <c r="AG288" s="184">
        <v>0</v>
      </c>
      <c r="AH288" s="185">
        <v>0</v>
      </c>
      <c r="AI288" s="184">
        <v>0</v>
      </c>
      <c r="AJ288" s="643">
        <v>0</v>
      </c>
    </row>
    <row r="289" spans="1:36" x14ac:dyDescent="0.2">
      <c r="A289" s="440" t="s">
        <v>64</v>
      </c>
      <c r="B289" s="642">
        <v>19</v>
      </c>
      <c r="C289" s="184">
        <v>0</v>
      </c>
      <c r="D289" s="184">
        <v>17</v>
      </c>
      <c r="E289" s="184">
        <v>0</v>
      </c>
      <c r="F289" s="184">
        <v>2</v>
      </c>
      <c r="G289" s="184">
        <v>0</v>
      </c>
      <c r="H289" s="184">
        <v>0</v>
      </c>
      <c r="I289" s="184">
        <v>0</v>
      </c>
      <c r="J289" s="184">
        <v>0</v>
      </c>
      <c r="K289" s="184">
        <v>0</v>
      </c>
      <c r="L289" s="184">
        <v>0</v>
      </c>
      <c r="M289" s="654" t="s">
        <v>24</v>
      </c>
      <c r="N289" s="670" t="s">
        <v>64</v>
      </c>
      <c r="O289" s="642">
        <v>0</v>
      </c>
      <c r="P289" s="184">
        <v>0</v>
      </c>
      <c r="Q289" s="184">
        <v>0</v>
      </c>
      <c r="R289" s="184">
        <v>0</v>
      </c>
      <c r="S289" s="184">
        <v>0</v>
      </c>
      <c r="T289" s="184">
        <v>1</v>
      </c>
      <c r="U289" s="184">
        <v>10</v>
      </c>
      <c r="V289" s="184">
        <v>2</v>
      </c>
      <c r="W289" s="184">
        <v>3</v>
      </c>
      <c r="X289" s="184">
        <v>3</v>
      </c>
      <c r="Y289" s="184">
        <v>0</v>
      </c>
      <c r="Z289" s="184">
        <v>0</v>
      </c>
      <c r="AA289" s="184">
        <v>0</v>
      </c>
      <c r="AB289" s="184">
        <v>0</v>
      </c>
      <c r="AC289" s="185">
        <v>41.7</v>
      </c>
      <c r="AD289" s="185">
        <v>50.1</v>
      </c>
      <c r="AE289" s="184">
        <v>0</v>
      </c>
      <c r="AF289" s="185">
        <v>0</v>
      </c>
      <c r="AG289" s="184">
        <v>0</v>
      </c>
      <c r="AH289" s="185">
        <v>0</v>
      </c>
      <c r="AI289" s="184">
        <v>0</v>
      </c>
      <c r="AJ289" s="643">
        <v>0</v>
      </c>
    </row>
    <row r="290" spans="1:36" x14ac:dyDescent="0.2">
      <c r="A290" s="440" t="s">
        <v>106</v>
      </c>
      <c r="B290" s="642">
        <v>10</v>
      </c>
      <c r="C290" s="184">
        <v>0</v>
      </c>
      <c r="D290" s="184">
        <v>7</v>
      </c>
      <c r="E290" s="184">
        <v>0</v>
      </c>
      <c r="F290" s="184">
        <v>3</v>
      </c>
      <c r="G290" s="184">
        <v>0</v>
      </c>
      <c r="H290" s="184">
        <v>0</v>
      </c>
      <c r="I290" s="184">
        <v>0</v>
      </c>
      <c r="J290" s="184">
        <v>0</v>
      </c>
      <c r="K290" s="184">
        <v>0</v>
      </c>
      <c r="L290" s="184">
        <v>0</v>
      </c>
      <c r="M290" s="654" t="s">
        <v>24</v>
      </c>
      <c r="N290" s="670" t="s">
        <v>106</v>
      </c>
      <c r="O290" s="642">
        <v>0</v>
      </c>
      <c r="P290" s="184">
        <v>0</v>
      </c>
      <c r="Q290" s="184">
        <v>0</v>
      </c>
      <c r="R290" s="184">
        <v>0</v>
      </c>
      <c r="S290" s="184">
        <v>3</v>
      </c>
      <c r="T290" s="184">
        <v>3</v>
      </c>
      <c r="U290" s="184">
        <v>1</v>
      </c>
      <c r="V290" s="184">
        <v>2</v>
      </c>
      <c r="W290" s="184">
        <v>0</v>
      </c>
      <c r="X290" s="184">
        <v>1</v>
      </c>
      <c r="Y290" s="184">
        <v>0</v>
      </c>
      <c r="Z290" s="184">
        <v>0</v>
      </c>
      <c r="AA290" s="184">
        <v>0</v>
      </c>
      <c r="AB290" s="184">
        <v>0</v>
      </c>
      <c r="AC290" s="185">
        <v>35.4</v>
      </c>
      <c r="AD290" s="185" t="s">
        <v>24</v>
      </c>
      <c r="AE290" s="184">
        <v>0</v>
      </c>
      <c r="AF290" s="185">
        <v>0</v>
      </c>
      <c r="AG290" s="184">
        <v>0</v>
      </c>
      <c r="AH290" s="185">
        <v>0</v>
      </c>
      <c r="AI290" s="184">
        <v>0</v>
      </c>
      <c r="AJ290" s="643">
        <v>0</v>
      </c>
    </row>
    <row r="291" spans="1:36" x14ac:dyDescent="0.2">
      <c r="A291" s="440" t="s">
        <v>107</v>
      </c>
      <c r="B291" s="642">
        <v>17</v>
      </c>
      <c r="C291" s="184">
        <v>1</v>
      </c>
      <c r="D291" s="184">
        <v>14</v>
      </c>
      <c r="E291" s="184">
        <v>1</v>
      </c>
      <c r="F291" s="184">
        <v>1</v>
      </c>
      <c r="G291" s="184">
        <v>0</v>
      </c>
      <c r="H291" s="184">
        <v>0</v>
      </c>
      <c r="I291" s="184">
        <v>0</v>
      </c>
      <c r="J291" s="184">
        <v>0</v>
      </c>
      <c r="K291" s="184">
        <v>0</v>
      </c>
      <c r="L291" s="184">
        <v>0</v>
      </c>
      <c r="M291" s="654" t="s">
        <v>24</v>
      </c>
      <c r="N291" s="670" t="s">
        <v>107</v>
      </c>
      <c r="O291" s="642">
        <v>0</v>
      </c>
      <c r="P291" s="184">
        <v>1</v>
      </c>
      <c r="Q291" s="184">
        <v>1</v>
      </c>
      <c r="R291" s="184">
        <v>3</v>
      </c>
      <c r="S291" s="184">
        <v>1</v>
      </c>
      <c r="T291" s="184">
        <v>2</v>
      </c>
      <c r="U291" s="184">
        <v>2</v>
      </c>
      <c r="V291" s="184">
        <v>5</v>
      </c>
      <c r="W291" s="184">
        <v>2</v>
      </c>
      <c r="X291" s="184">
        <v>0</v>
      </c>
      <c r="Y291" s="184">
        <v>0</v>
      </c>
      <c r="Z291" s="184">
        <v>0</v>
      </c>
      <c r="AA291" s="184">
        <v>0</v>
      </c>
      <c r="AB291" s="184">
        <v>0</v>
      </c>
      <c r="AC291" s="185">
        <v>33.299999999999997</v>
      </c>
      <c r="AD291" s="185">
        <v>44.4</v>
      </c>
      <c r="AE291" s="184">
        <v>0</v>
      </c>
      <c r="AF291" s="185">
        <v>0</v>
      </c>
      <c r="AG291" s="184">
        <v>0</v>
      </c>
      <c r="AH291" s="185">
        <v>0</v>
      </c>
      <c r="AI291" s="184">
        <v>0</v>
      </c>
      <c r="AJ291" s="643">
        <v>0</v>
      </c>
    </row>
    <row r="292" spans="1:36" x14ac:dyDescent="0.2">
      <c r="A292" s="440" t="s">
        <v>108</v>
      </c>
      <c r="B292" s="642">
        <v>18</v>
      </c>
      <c r="C292" s="184">
        <v>0</v>
      </c>
      <c r="D292" s="184">
        <v>17</v>
      </c>
      <c r="E292" s="184">
        <v>0</v>
      </c>
      <c r="F292" s="184">
        <v>1</v>
      </c>
      <c r="G292" s="184">
        <v>0</v>
      </c>
      <c r="H292" s="184">
        <v>0</v>
      </c>
      <c r="I292" s="184">
        <v>0</v>
      </c>
      <c r="J292" s="184">
        <v>0</v>
      </c>
      <c r="K292" s="184">
        <v>0</v>
      </c>
      <c r="L292" s="184">
        <v>0</v>
      </c>
      <c r="M292" s="654" t="s">
        <v>24</v>
      </c>
      <c r="N292" s="670" t="s">
        <v>108</v>
      </c>
      <c r="O292" s="642">
        <v>0</v>
      </c>
      <c r="P292" s="184">
        <v>0</v>
      </c>
      <c r="Q292" s="184">
        <v>1</v>
      </c>
      <c r="R292" s="184">
        <v>0</v>
      </c>
      <c r="S292" s="184">
        <v>1</v>
      </c>
      <c r="T292" s="184">
        <v>2</v>
      </c>
      <c r="U292" s="184">
        <v>4</v>
      </c>
      <c r="V292" s="184">
        <v>5</v>
      </c>
      <c r="W292" s="184">
        <v>2</v>
      </c>
      <c r="X292" s="184">
        <v>2</v>
      </c>
      <c r="Y292" s="184">
        <v>1</v>
      </c>
      <c r="Z292" s="184">
        <v>0</v>
      </c>
      <c r="AA292" s="184">
        <v>0</v>
      </c>
      <c r="AB292" s="184">
        <v>0</v>
      </c>
      <c r="AC292" s="185">
        <v>40.6</v>
      </c>
      <c r="AD292" s="185">
        <v>50.3</v>
      </c>
      <c r="AE292" s="184">
        <v>1</v>
      </c>
      <c r="AF292" s="185">
        <v>5.5555555555555554</v>
      </c>
      <c r="AG292" s="184">
        <v>0</v>
      </c>
      <c r="AH292" s="185">
        <v>0</v>
      </c>
      <c r="AI292" s="184">
        <v>0</v>
      </c>
      <c r="AJ292" s="643">
        <v>0</v>
      </c>
    </row>
    <row r="293" spans="1:36" x14ac:dyDescent="0.2">
      <c r="A293" s="440" t="s">
        <v>65</v>
      </c>
      <c r="B293" s="646">
        <v>15</v>
      </c>
      <c r="C293" s="186">
        <v>1</v>
      </c>
      <c r="D293" s="186">
        <v>13</v>
      </c>
      <c r="E293" s="186">
        <v>0</v>
      </c>
      <c r="F293" s="186">
        <v>1</v>
      </c>
      <c r="G293" s="186">
        <v>0</v>
      </c>
      <c r="H293" s="186">
        <v>0</v>
      </c>
      <c r="I293" s="186">
        <v>0</v>
      </c>
      <c r="J293" s="186">
        <v>0</v>
      </c>
      <c r="K293" s="186">
        <v>0</v>
      </c>
      <c r="L293" s="186">
        <v>0</v>
      </c>
      <c r="M293" s="656" t="s">
        <v>24</v>
      </c>
      <c r="N293" s="670" t="s">
        <v>65</v>
      </c>
      <c r="O293" s="646">
        <v>0</v>
      </c>
      <c r="P293" s="186">
        <v>1</v>
      </c>
      <c r="Q293" s="186">
        <v>0</v>
      </c>
      <c r="R293" s="186">
        <v>0</v>
      </c>
      <c r="S293" s="186">
        <v>0</v>
      </c>
      <c r="T293" s="186">
        <v>3</v>
      </c>
      <c r="U293" s="186">
        <v>8</v>
      </c>
      <c r="V293" s="186">
        <v>1</v>
      </c>
      <c r="W293" s="186">
        <v>0</v>
      </c>
      <c r="X293" s="186">
        <v>2</v>
      </c>
      <c r="Y293" s="186">
        <v>0</v>
      </c>
      <c r="Z293" s="186">
        <v>0</v>
      </c>
      <c r="AA293" s="186">
        <v>0</v>
      </c>
      <c r="AB293" s="186">
        <v>0</v>
      </c>
      <c r="AC293" s="187">
        <v>37.5</v>
      </c>
      <c r="AD293" s="187">
        <v>47.6</v>
      </c>
      <c r="AE293" s="186">
        <v>0</v>
      </c>
      <c r="AF293" s="187">
        <v>0</v>
      </c>
      <c r="AG293" s="186">
        <v>0</v>
      </c>
      <c r="AH293" s="187">
        <v>0</v>
      </c>
      <c r="AI293" s="186">
        <v>0</v>
      </c>
      <c r="AJ293" s="647">
        <v>0</v>
      </c>
    </row>
    <row r="294" spans="1:36" x14ac:dyDescent="0.2">
      <c r="A294" s="440" t="s">
        <v>109</v>
      </c>
      <c r="B294" s="642">
        <v>14</v>
      </c>
      <c r="C294" s="184">
        <v>1</v>
      </c>
      <c r="D294" s="184">
        <v>13</v>
      </c>
      <c r="E294" s="184">
        <v>0</v>
      </c>
      <c r="F294" s="184">
        <v>0</v>
      </c>
      <c r="G294" s="184">
        <v>0</v>
      </c>
      <c r="H294" s="184">
        <v>0</v>
      </c>
      <c r="I294" s="184">
        <v>0</v>
      </c>
      <c r="J294" s="184">
        <v>0</v>
      </c>
      <c r="K294" s="184">
        <v>0</v>
      </c>
      <c r="L294" s="184">
        <v>0</v>
      </c>
      <c r="M294" s="654" t="s">
        <v>24</v>
      </c>
      <c r="N294" s="670" t="s">
        <v>109</v>
      </c>
      <c r="O294" s="642">
        <v>0</v>
      </c>
      <c r="P294" s="184">
        <v>0</v>
      </c>
      <c r="Q294" s="184">
        <v>0</v>
      </c>
      <c r="R294" s="184">
        <v>0</v>
      </c>
      <c r="S294" s="184">
        <v>1</v>
      </c>
      <c r="T294" s="184">
        <v>2</v>
      </c>
      <c r="U294" s="184">
        <v>6</v>
      </c>
      <c r="V294" s="184">
        <v>3</v>
      </c>
      <c r="W294" s="184">
        <v>2</v>
      </c>
      <c r="X294" s="184">
        <v>0</v>
      </c>
      <c r="Y294" s="184">
        <v>0</v>
      </c>
      <c r="Z294" s="184">
        <v>0</v>
      </c>
      <c r="AA294" s="184">
        <v>0</v>
      </c>
      <c r="AB294" s="184">
        <v>0</v>
      </c>
      <c r="AC294" s="185">
        <v>38.200000000000003</v>
      </c>
      <c r="AD294" s="185">
        <v>44.8</v>
      </c>
      <c r="AE294" s="184">
        <v>0</v>
      </c>
      <c r="AF294" s="185">
        <v>0</v>
      </c>
      <c r="AG294" s="184">
        <v>0</v>
      </c>
      <c r="AH294" s="185">
        <v>0</v>
      </c>
      <c r="AI294" s="184">
        <v>0</v>
      </c>
      <c r="AJ294" s="643">
        <v>0</v>
      </c>
    </row>
    <row r="295" spans="1:36" x14ac:dyDescent="0.2">
      <c r="A295" s="440" t="s">
        <v>110</v>
      </c>
      <c r="B295" s="642">
        <v>17</v>
      </c>
      <c r="C295" s="184">
        <v>1</v>
      </c>
      <c r="D295" s="184">
        <v>14</v>
      </c>
      <c r="E295" s="184">
        <v>1</v>
      </c>
      <c r="F295" s="184">
        <v>1</v>
      </c>
      <c r="G295" s="184">
        <v>0</v>
      </c>
      <c r="H295" s="184">
        <v>0</v>
      </c>
      <c r="I295" s="184">
        <v>0</v>
      </c>
      <c r="J295" s="184">
        <v>0</v>
      </c>
      <c r="K295" s="184">
        <v>0</v>
      </c>
      <c r="L295" s="184">
        <v>0</v>
      </c>
      <c r="M295" s="654" t="s">
        <v>24</v>
      </c>
      <c r="N295" s="670" t="s">
        <v>110</v>
      </c>
      <c r="O295" s="642">
        <v>1</v>
      </c>
      <c r="P295" s="184">
        <v>0</v>
      </c>
      <c r="Q295" s="184">
        <v>0</v>
      </c>
      <c r="R295" s="184">
        <v>1</v>
      </c>
      <c r="S295" s="184">
        <v>0</v>
      </c>
      <c r="T295" s="184">
        <v>5</v>
      </c>
      <c r="U295" s="184">
        <v>3</v>
      </c>
      <c r="V295" s="184">
        <v>3</v>
      </c>
      <c r="W295" s="184">
        <v>3</v>
      </c>
      <c r="X295" s="184">
        <v>1</v>
      </c>
      <c r="Y295" s="184">
        <v>0</v>
      </c>
      <c r="Z295" s="184">
        <v>0</v>
      </c>
      <c r="AA295" s="184">
        <v>0</v>
      </c>
      <c r="AB295" s="184">
        <v>0</v>
      </c>
      <c r="AC295" s="185">
        <v>37.200000000000003</v>
      </c>
      <c r="AD295" s="185">
        <v>47.8</v>
      </c>
      <c r="AE295" s="184">
        <v>0</v>
      </c>
      <c r="AF295" s="185">
        <v>0</v>
      </c>
      <c r="AG295" s="184">
        <v>0</v>
      </c>
      <c r="AH295" s="185">
        <v>0</v>
      </c>
      <c r="AI295" s="184">
        <v>0</v>
      </c>
      <c r="AJ295" s="643">
        <v>0</v>
      </c>
    </row>
    <row r="296" spans="1:36" x14ac:dyDescent="0.2">
      <c r="A296" s="440" t="s">
        <v>111</v>
      </c>
      <c r="B296" s="642">
        <v>9</v>
      </c>
      <c r="C296" s="184">
        <v>1</v>
      </c>
      <c r="D296" s="184">
        <v>7</v>
      </c>
      <c r="E296" s="184">
        <v>0</v>
      </c>
      <c r="F296" s="184">
        <v>1</v>
      </c>
      <c r="G296" s="184">
        <v>0</v>
      </c>
      <c r="H296" s="184">
        <v>0</v>
      </c>
      <c r="I296" s="184">
        <v>0</v>
      </c>
      <c r="J296" s="184">
        <v>0</v>
      </c>
      <c r="K296" s="184">
        <v>0</v>
      </c>
      <c r="L296" s="184">
        <v>0</v>
      </c>
      <c r="M296" s="654" t="s">
        <v>24</v>
      </c>
      <c r="N296" s="670" t="s">
        <v>111</v>
      </c>
      <c r="O296" s="642">
        <v>0</v>
      </c>
      <c r="P296" s="184">
        <v>1</v>
      </c>
      <c r="Q296" s="184">
        <v>0</v>
      </c>
      <c r="R296" s="184">
        <v>0</v>
      </c>
      <c r="S296" s="184">
        <v>1</v>
      </c>
      <c r="T296" s="184">
        <v>0</v>
      </c>
      <c r="U296" s="184">
        <v>0</v>
      </c>
      <c r="V296" s="184">
        <v>4</v>
      </c>
      <c r="W296" s="184">
        <v>1</v>
      </c>
      <c r="X296" s="184">
        <v>2</v>
      </c>
      <c r="Y296" s="184">
        <v>0</v>
      </c>
      <c r="Z296" s="184">
        <v>0</v>
      </c>
      <c r="AA296" s="184">
        <v>0</v>
      </c>
      <c r="AB296" s="184">
        <v>0</v>
      </c>
      <c r="AC296" s="185">
        <v>39.700000000000003</v>
      </c>
      <c r="AD296" s="185" t="s">
        <v>24</v>
      </c>
      <c r="AE296" s="184">
        <v>0</v>
      </c>
      <c r="AF296" s="185">
        <v>0</v>
      </c>
      <c r="AG296" s="184">
        <v>0</v>
      </c>
      <c r="AH296" s="185">
        <v>0</v>
      </c>
      <c r="AI296" s="184">
        <v>0</v>
      </c>
      <c r="AJ296" s="643">
        <v>0</v>
      </c>
    </row>
    <row r="297" spans="1:36" x14ac:dyDescent="0.2">
      <c r="A297" s="440" t="s">
        <v>67</v>
      </c>
      <c r="B297" s="642">
        <v>12</v>
      </c>
      <c r="C297" s="184">
        <v>0</v>
      </c>
      <c r="D297" s="184">
        <v>11</v>
      </c>
      <c r="E297" s="184">
        <v>0</v>
      </c>
      <c r="F297" s="184">
        <v>1</v>
      </c>
      <c r="G297" s="184">
        <v>0</v>
      </c>
      <c r="H297" s="184">
        <v>0</v>
      </c>
      <c r="I297" s="184">
        <v>0</v>
      </c>
      <c r="J297" s="184">
        <v>0</v>
      </c>
      <c r="K297" s="184">
        <v>0</v>
      </c>
      <c r="L297" s="184">
        <v>0</v>
      </c>
      <c r="M297" s="654" t="s">
        <v>24</v>
      </c>
      <c r="N297" s="670" t="s">
        <v>67</v>
      </c>
      <c r="O297" s="642">
        <v>0</v>
      </c>
      <c r="P297" s="184">
        <v>0</v>
      </c>
      <c r="Q297" s="184">
        <v>0</v>
      </c>
      <c r="R297" s="184">
        <v>0</v>
      </c>
      <c r="S297" s="184">
        <v>0</v>
      </c>
      <c r="T297" s="184">
        <v>2</v>
      </c>
      <c r="U297" s="184">
        <v>3</v>
      </c>
      <c r="V297" s="184">
        <v>4</v>
      </c>
      <c r="W297" s="184">
        <v>1</v>
      </c>
      <c r="X297" s="184">
        <v>2</v>
      </c>
      <c r="Y297" s="184">
        <v>0</v>
      </c>
      <c r="Z297" s="184">
        <v>0</v>
      </c>
      <c r="AA297" s="184">
        <v>0</v>
      </c>
      <c r="AB297" s="184">
        <v>0</v>
      </c>
      <c r="AC297" s="185">
        <v>41.9</v>
      </c>
      <c r="AD297" s="185">
        <v>53</v>
      </c>
      <c r="AE297" s="184">
        <v>0</v>
      </c>
      <c r="AF297" s="185">
        <v>0</v>
      </c>
      <c r="AG297" s="184">
        <v>0</v>
      </c>
      <c r="AH297" s="185">
        <v>0</v>
      </c>
      <c r="AI297" s="184">
        <v>0</v>
      </c>
      <c r="AJ297" s="643">
        <v>0</v>
      </c>
    </row>
    <row r="298" spans="1:36" x14ac:dyDescent="0.2">
      <c r="A298" s="440" t="s">
        <v>112</v>
      </c>
      <c r="B298" s="642">
        <v>11</v>
      </c>
      <c r="C298" s="184">
        <v>0</v>
      </c>
      <c r="D298" s="184">
        <v>8</v>
      </c>
      <c r="E298" s="184">
        <v>0</v>
      </c>
      <c r="F298" s="184">
        <v>3</v>
      </c>
      <c r="G298" s="184">
        <v>0</v>
      </c>
      <c r="H298" s="184">
        <v>0</v>
      </c>
      <c r="I298" s="184">
        <v>0</v>
      </c>
      <c r="J298" s="184">
        <v>0</v>
      </c>
      <c r="K298" s="184">
        <v>0</v>
      </c>
      <c r="L298" s="184">
        <v>0</v>
      </c>
      <c r="M298" s="654" t="s">
        <v>24</v>
      </c>
      <c r="N298" s="670" t="s">
        <v>112</v>
      </c>
      <c r="O298" s="642">
        <v>0</v>
      </c>
      <c r="P298" s="184">
        <v>0</v>
      </c>
      <c r="Q298" s="184">
        <v>0</v>
      </c>
      <c r="R298" s="184">
        <v>0</v>
      </c>
      <c r="S298" s="184">
        <v>0</v>
      </c>
      <c r="T298" s="184">
        <v>2</v>
      </c>
      <c r="U298" s="184">
        <v>3</v>
      </c>
      <c r="V298" s="184">
        <v>4</v>
      </c>
      <c r="W298" s="184">
        <v>1</v>
      </c>
      <c r="X298" s="184">
        <v>1</v>
      </c>
      <c r="Y298" s="184">
        <v>0</v>
      </c>
      <c r="Z298" s="184">
        <v>0</v>
      </c>
      <c r="AA298" s="184">
        <v>0</v>
      </c>
      <c r="AB298" s="184">
        <v>0</v>
      </c>
      <c r="AC298" s="185">
        <v>40.700000000000003</v>
      </c>
      <c r="AD298" s="185">
        <v>46.6</v>
      </c>
      <c r="AE298" s="184">
        <v>0</v>
      </c>
      <c r="AF298" s="185">
        <v>0</v>
      </c>
      <c r="AG298" s="184">
        <v>0</v>
      </c>
      <c r="AH298" s="185">
        <v>0</v>
      </c>
      <c r="AI298" s="184">
        <v>0</v>
      </c>
      <c r="AJ298" s="643">
        <v>0</v>
      </c>
    </row>
    <row r="299" spans="1:36" x14ac:dyDescent="0.2">
      <c r="A299" s="440" t="s">
        <v>113</v>
      </c>
      <c r="B299" s="642">
        <v>8</v>
      </c>
      <c r="C299" s="184">
        <v>1</v>
      </c>
      <c r="D299" s="184">
        <v>7</v>
      </c>
      <c r="E299" s="184">
        <v>0</v>
      </c>
      <c r="F299" s="184">
        <v>0</v>
      </c>
      <c r="G299" s="184">
        <v>0</v>
      </c>
      <c r="H299" s="184">
        <v>0</v>
      </c>
      <c r="I299" s="184">
        <v>0</v>
      </c>
      <c r="J299" s="184">
        <v>0</v>
      </c>
      <c r="K299" s="184">
        <v>0</v>
      </c>
      <c r="L299" s="184">
        <v>0</v>
      </c>
      <c r="M299" s="654" t="s">
        <v>24</v>
      </c>
      <c r="N299" s="670" t="s">
        <v>113</v>
      </c>
      <c r="O299" s="642">
        <v>0</v>
      </c>
      <c r="P299" s="184">
        <v>1</v>
      </c>
      <c r="Q299" s="184">
        <v>0</v>
      </c>
      <c r="R299" s="184">
        <v>0</v>
      </c>
      <c r="S299" s="184">
        <v>0</v>
      </c>
      <c r="T299" s="184">
        <v>0</v>
      </c>
      <c r="U299" s="184">
        <v>1</v>
      </c>
      <c r="V299" s="184">
        <v>1</v>
      </c>
      <c r="W299" s="184">
        <v>2</v>
      </c>
      <c r="X299" s="184">
        <v>3</v>
      </c>
      <c r="Y299" s="184">
        <v>0</v>
      </c>
      <c r="Z299" s="184">
        <v>0</v>
      </c>
      <c r="AA299" s="184">
        <v>0</v>
      </c>
      <c r="AB299" s="184">
        <v>0</v>
      </c>
      <c r="AC299" s="185">
        <v>43.3</v>
      </c>
      <c r="AD299" s="185" t="s">
        <v>24</v>
      </c>
      <c r="AE299" s="184">
        <v>0</v>
      </c>
      <c r="AF299" s="185">
        <v>0</v>
      </c>
      <c r="AG299" s="184">
        <v>0</v>
      </c>
      <c r="AH299" s="185">
        <v>0</v>
      </c>
      <c r="AI299" s="184">
        <v>0</v>
      </c>
      <c r="AJ299" s="643">
        <v>0</v>
      </c>
    </row>
    <row r="300" spans="1:36" x14ac:dyDescent="0.2">
      <c r="A300" s="440" t="s">
        <v>114</v>
      </c>
      <c r="B300" s="642">
        <v>8</v>
      </c>
      <c r="C300" s="184">
        <v>0</v>
      </c>
      <c r="D300" s="184">
        <v>8</v>
      </c>
      <c r="E300" s="184">
        <v>0</v>
      </c>
      <c r="F300" s="184">
        <v>0</v>
      </c>
      <c r="G300" s="184">
        <v>0</v>
      </c>
      <c r="H300" s="184">
        <v>0</v>
      </c>
      <c r="I300" s="184">
        <v>0</v>
      </c>
      <c r="J300" s="184">
        <v>0</v>
      </c>
      <c r="K300" s="184">
        <v>0</v>
      </c>
      <c r="L300" s="184">
        <v>0</v>
      </c>
      <c r="M300" s="654" t="s">
        <v>24</v>
      </c>
      <c r="N300" s="670" t="s">
        <v>114</v>
      </c>
      <c r="O300" s="642">
        <v>0</v>
      </c>
      <c r="P300" s="184">
        <v>0</v>
      </c>
      <c r="Q300" s="184">
        <v>0</v>
      </c>
      <c r="R300" s="184">
        <v>0</v>
      </c>
      <c r="S300" s="184">
        <v>0</v>
      </c>
      <c r="T300" s="184">
        <v>2</v>
      </c>
      <c r="U300" s="184">
        <v>2</v>
      </c>
      <c r="V300" s="184">
        <v>2</v>
      </c>
      <c r="W300" s="184">
        <v>0</v>
      </c>
      <c r="X300" s="184">
        <v>2</v>
      </c>
      <c r="Y300" s="184">
        <v>0</v>
      </c>
      <c r="Z300" s="184">
        <v>0</v>
      </c>
      <c r="AA300" s="184">
        <v>0</v>
      </c>
      <c r="AB300" s="184">
        <v>0</v>
      </c>
      <c r="AC300" s="185">
        <v>42.3</v>
      </c>
      <c r="AD300" s="185" t="s">
        <v>24</v>
      </c>
      <c r="AE300" s="184">
        <v>0</v>
      </c>
      <c r="AF300" s="185">
        <v>0</v>
      </c>
      <c r="AG300" s="184">
        <v>0</v>
      </c>
      <c r="AH300" s="185">
        <v>0</v>
      </c>
      <c r="AI300" s="184">
        <v>0</v>
      </c>
      <c r="AJ300" s="643">
        <v>0</v>
      </c>
    </row>
    <row r="301" spans="1:36" x14ac:dyDescent="0.2">
      <c r="A301" s="440" t="s">
        <v>69</v>
      </c>
      <c r="B301" s="646">
        <v>10</v>
      </c>
      <c r="C301" s="186">
        <v>0</v>
      </c>
      <c r="D301" s="186">
        <v>10</v>
      </c>
      <c r="E301" s="186">
        <v>0</v>
      </c>
      <c r="F301" s="186">
        <v>0</v>
      </c>
      <c r="G301" s="186">
        <v>0</v>
      </c>
      <c r="H301" s="186">
        <v>0</v>
      </c>
      <c r="I301" s="186">
        <v>0</v>
      </c>
      <c r="J301" s="186">
        <v>0</v>
      </c>
      <c r="K301" s="186">
        <v>0</v>
      </c>
      <c r="L301" s="186">
        <v>0</v>
      </c>
      <c r="M301" s="656" t="s">
        <v>24</v>
      </c>
      <c r="N301" s="670" t="s">
        <v>69</v>
      </c>
      <c r="O301" s="646">
        <v>0</v>
      </c>
      <c r="P301" s="186">
        <v>0</v>
      </c>
      <c r="Q301" s="186">
        <v>0</v>
      </c>
      <c r="R301" s="186">
        <v>0</v>
      </c>
      <c r="S301" s="186">
        <v>0</v>
      </c>
      <c r="T301" s="186">
        <v>0</v>
      </c>
      <c r="U301" s="186">
        <v>1</v>
      </c>
      <c r="V301" s="186">
        <v>6</v>
      </c>
      <c r="W301" s="186">
        <v>2</v>
      </c>
      <c r="X301" s="186">
        <v>1</v>
      </c>
      <c r="Y301" s="186">
        <v>0</v>
      </c>
      <c r="Z301" s="186">
        <v>0</v>
      </c>
      <c r="AA301" s="186">
        <v>0</v>
      </c>
      <c r="AB301" s="186">
        <v>0</v>
      </c>
      <c r="AC301" s="187">
        <v>43.9</v>
      </c>
      <c r="AD301" s="187" t="s">
        <v>24</v>
      </c>
      <c r="AE301" s="186">
        <v>0</v>
      </c>
      <c r="AF301" s="187">
        <v>0</v>
      </c>
      <c r="AG301" s="186">
        <v>0</v>
      </c>
      <c r="AH301" s="187">
        <v>0</v>
      </c>
      <c r="AI301" s="186">
        <v>0</v>
      </c>
      <c r="AJ301" s="647">
        <v>0</v>
      </c>
    </row>
    <row r="302" spans="1:36" x14ac:dyDescent="0.2">
      <c r="A302" s="440" t="s">
        <v>115</v>
      </c>
      <c r="B302" s="642">
        <v>4</v>
      </c>
      <c r="C302" s="184">
        <v>0</v>
      </c>
      <c r="D302" s="184">
        <v>3</v>
      </c>
      <c r="E302" s="184">
        <v>0</v>
      </c>
      <c r="F302" s="184">
        <v>1</v>
      </c>
      <c r="G302" s="184">
        <v>0</v>
      </c>
      <c r="H302" s="184">
        <v>0</v>
      </c>
      <c r="I302" s="184">
        <v>0</v>
      </c>
      <c r="J302" s="184">
        <v>0</v>
      </c>
      <c r="K302" s="184">
        <v>0</v>
      </c>
      <c r="L302" s="184">
        <v>0</v>
      </c>
      <c r="M302" s="654" t="s">
        <v>24</v>
      </c>
      <c r="N302" s="670" t="s">
        <v>115</v>
      </c>
      <c r="O302" s="642">
        <v>0</v>
      </c>
      <c r="P302" s="184">
        <v>0</v>
      </c>
      <c r="Q302" s="184">
        <v>0</v>
      </c>
      <c r="R302" s="184">
        <v>0</v>
      </c>
      <c r="S302" s="184">
        <v>0</v>
      </c>
      <c r="T302" s="184">
        <v>0</v>
      </c>
      <c r="U302" s="184">
        <v>0</v>
      </c>
      <c r="V302" s="184">
        <v>2</v>
      </c>
      <c r="W302" s="184">
        <v>1</v>
      </c>
      <c r="X302" s="184">
        <v>1</v>
      </c>
      <c r="Y302" s="184">
        <v>0</v>
      </c>
      <c r="Z302" s="184">
        <v>0</v>
      </c>
      <c r="AA302" s="184">
        <v>0</v>
      </c>
      <c r="AB302" s="184">
        <v>0</v>
      </c>
      <c r="AC302" s="185">
        <v>45.1</v>
      </c>
      <c r="AD302" s="185" t="s">
        <v>24</v>
      </c>
      <c r="AE302" s="184">
        <v>0</v>
      </c>
      <c r="AF302" s="185">
        <v>0</v>
      </c>
      <c r="AG302" s="184">
        <v>0</v>
      </c>
      <c r="AH302" s="185">
        <v>0</v>
      </c>
      <c r="AI302" s="184">
        <v>0</v>
      </c>
      <c r="AJ302" s="643">
        <v>0</v>
      </c>
    </row>
    <row r="303" spans="1:36" x14ac:dyDescent="0.2">
      <c r="A303" s="440" t="s">
        <v>116</v>
      </c>
      <c r="B303" s="642">
        <v>7</v>
      </c>
      <c r="C303" s="184">
        <v>0</v>
      </c>
      <c r="D303" s="184">
        <v>6</v>
      </c>
      <c r="E303" s="184">
        <v>0</v>
      </c>
      <c r="F303" s="184">
        <v>1</v>
      </c>
      <c r="G303" s="184">
        <v>0</v>
      </c>
      <c r="H303" s="184">
        <v>0</v>
      </c>
      <c r="I303" s="184">
        <v>0</v>
      </c>
      <c r="J303" s="184">
        <v>0</v>
      </c>
      <c r="K303" s="184">
        <v>0</v>
      </c>
      <c r="L303" s="184">
        <v>0</v>
      </c>
      <c r="M303" s="654" t="s">
        <v>24</v>
      </c>
      <c r="N303" s="670" t="s">
        <v>116</v>
      </c>
      <c r="O303" s="642">
        <v>0</v>
      </c>
      <c r="P303" s="184">
        <v>0</v>
      </c>
      <c r="Q303" s="184">
        <v>0</v>
      </c>
      <c r="R303" s="184">
        <v>0</v>
      </c>
      <c r="S303" s="184">
        <v>0</v>
      </c>
      <c r="T303" s="184">
        <v>0</v>
      </c>
      <c r="U303" s="184">
        <v>2</v>
      </c>
      <c r="V303" s="184">
        <v>2</v>
      </c>
      <c r="W303" s="184">
        <v>1</v>
      </c>
      <c r="X303" s="184">
        <v>2</v>
      </c>
      <c r="Y303" s="184">
        <v>0</v>
      </c>
      <c r="Z303" s="184">
        <v>0</v>
      </c>
      <c r="AA303" s="184">
        <v>0</v>
      </c>
      <c r="AB303" s="184">
        <v>0</v>
      </c>
      <c r="AC303" s="185">
        <v>44.6</v>
      </c>
      <c r="AD303" s="185" t="s">
        <v>24</v>
      </c>
      <c r="AE303" s="184">
        <v>0</v>
      </c>
      <c r="AF303" s="185">
        <v>0</v>
      </c>
      <c r="AG303" s="184">
        <v>0</v>
      </c>
      <c r="AH303" s="185">
        <v>0</v>
      </c>
      <c r="AI303" s="184">
        <v>0</v>
      </c>
      <c r="AJ303" s="643">
        <v>0</v>
      </c>
    </row>
    <row r="304" spans="1:36" ht="13.5" thickBot="1" x14ac:dyDescent="0.25">
      <c r="A304" s="440" t="s">
        <v>117</v>
      </c>
      <c r="B304" s="644">
        <v>5</v>
      </c>
      <c r="C304" s="188">
        <v>0</v>
      </c>
      <c r="D304" s="188">
        <v>4</v>
      </c>
      <c r="E304" s="188">
        <v>0</v>
      </c>
      <c r="F304" s="188">
        <v>1</v>
      </c>
      <c r="G304" s="188">
        <v>0</v>
      </c>
      <c r="H304" s="188">
        <v>0</v>
      </c>
      <c r="I304" s="188">
        <v>0</v>
      </c>
      <c r="J304" s="188">
        <v>0</v>
      </c>
      <c r="K304" s="188">
        <v>0</v>
      </c>
      <c r="L304" s="188">
        <v>0</v>
      </c>
      <c r="M304" s="655" t="s">
        <v>24</v>
      </c>
      <c r="N304" s="670" t="s">
        <v>117</v>
      </c>
      <c r="O304" s="644">
        <v>0</v>
      </c>
      <c r="P304" s="188">
        <v>0</v>
      </c>
      <c r="Q304" s="188">
        <v>0</v>
      </c>
      <c r="R304" s="188">
        <v>0</v>
      </c>
      <c r="S304" s="188">
        <v>0</v>
      </c>
      <c r="T304" s="188">
        <v>1</v>
      </c>
      <c r="U304" s="188">
        <v>0</v>
      </c>
      <c r="V304" s="188">
        <v>2</v>
      </c>
      <c r="W304" s="188">
        <v>1</v>
      </c>
      <c r="X304" s="188">
        <v>1</v>
      </c>
      <c r="Y304" s="188">
        <v>0</v>
      </c>
      <c r="Z304" s="188">
        <v>0</v>
      </c>
      <c r="AA304" s="188">
        <v>0</v>
      </c>
      <c r="AB304" s="188">
        <v>0</v>
      </c>
      <c r="AC304" s="189">
        <v>44.6</v>
      </c>
      <c r="AD304" s="189" t="s">
        <v>24</v>
      </c>
      <c r="AE304" s="188">
        <v>0</v>
      </c>
      <c r="AF304" s="189">
        <v>0</v>
      </c>
      <c r="AG304" s="188">
        <v>0</v>
      </c>
      <c r="AH304" s="189">
        <v>0</v>
      </c>
      <c r="AI304" s="188">
        <v>0</v>
      </c>
      <c r="AJ304" s="645">
        <v>0</v>
      </c>
    </row>
    <row r="305" spans="1:36" x14ac:dyDescent="0.2">
      <c r="A305" s="440" t="s">
        <v>71</v>
      </c>
      <c r="B305" s="642">
        <v>9</v>
      </c>
      <c r="C305" s="184">
        <v>0</v>
      </c>
      <c r="D305" s="184">
        <v>9</v>
      </c>
      <c r="E305" s="184">
        <v>0</v>
      </c>
      <c r="F305" s="184">
        <v>0</v>
      </c>
      <c r="G305" s="184">
        <v>0</v>
      </c>
      <c r="H305" s="184">
        <v>0</v>
      </c>
      <c r="I305" s="184">
        <v>0</v>
      </c>
      <c r="J305" s="184">
        <v>0</v>
      </c>
      <c r="K305" s="184">
        <v>0</v>
      </c>
      <c r="L305" s="184">
        <v>0</v>
      </c>
      <c r="M305" s="654" t="s">
        <v>24</v>
      </c>
      <c r="N305" s="670" t="s">
        <v>71</v>
      </c>
      <c r="O305" s="642">
        <v>0</v>
      </c>
      <c r="P305" s="184">
        <v>0</v>
      </c>
      <c r="Q305" s="184">
        <v>0</v>
      </c>
      <c r="R305" s="184">
        <v>0</v>
      </c>
      <c r="S305" s="184">
        <v>0</v>
      </c>
      <c r="T305" s="184">
        <v>0</v>
      </c>
      <c r="U305" s="184">
        <v>4</v>
      </c>
      <c r="V305" s="184">
        <v>4</v>
      </c>
      <c r="W305" s="184">
        <v>0</v>
      </c>
      <c r="X305" s="184">
        <v>1</v>
      </c>
      <c r="Y305" s="184">
        <v>0</v>
      </c>
      <c r="Z305" s="184">
        <v>0</v>
      </c>
      <c r="AA305" s="184">
        <v>0</v>
      </c>
      <c r="AB305" s="184">
        <v>0</v>
      </c>
      <c r="AC305" s="185">
        <v>42.1</v>
      </c>
      <c r="AD305" s="185" t="s">
        <v>24</v>
      </c>
      <c r="AE305" s="184">
        <v>0</v>
      </c>
      <c r="AF305" s="185">
        <v>0</v>
      </c>
      <c r="AG305" s="184">
        <v>0</v>
      </c>
      <c r="AH305" s="185">
        <v>0</v>
      </c>
      <c r="AI305" s="184">
        <v>0</v>
      </c>
      <c r="AJ305" s="643">
        <v>0</v>
      </c>
    </row>
    <row r="306" spans="1:36" x14ac:dyDescent="0.2">
      <c r="A306" s="440" t="s">
        <v>118</v>
      </c>
      <c r="B306" s="642">
        <v>5</v>
      </c>
      <c r="C306" s="184">
        <v>0</v>
      </c>
      <c r="D306" s="184">
        <v>5</v>
      </c>
      <c r="E306" s="184">
        <v>0</v>
      </c>
      <c r="F306" s="184">
        <v>0</v>
      </c>
      <c r="G306" s="184">
        <v>0</v>
      </c>
      <c r="H306" s="184">
        <v>0</v>
      </c>
      <c r="I306" s="184">
        <v>0</v>
      </c>
      <c r="J306" s="184">
        <v>0</v>
      </c>
      <c r="K306" s="184">
        <v>0</v>
      </c>
      <c r="L306" s="184">
        <v>0</v>
      </c>
      <c r="M306" s="654" t="s">
        <v>24</v>
      </c>
      <c r="N306" s="670" t="s">
        <v>118</v>
      </c>
      <c r="O306" s="642">
        <v>0</v>
      </c>
      <c r="P306" s="184">
        <v>0</v>
      </c>
      <c r="Q306" s="184">
        <v>0</v>
      </c>
      <c r="R306" s="184">
        <v>0</v>
      </c>
      <c r="S306" s="184">
        <v>0</v>
      </c>
      <c r="T306" s="184">
        <v>1</v>
      </c>
      <c r="U306" s="184">
        <v>1</v>
      </c>
      <c r="V306" s="184">
        <v>1</v>
      </c>
      <c r="W306" s="184">
        <v>0</v>
      </c>
      <c r="X306" s="184">
        <v>2</v>
      </c>
      <c r="Y306" s="184">
        <v>0</v>
      </c>
      <c r="Z306" s="184">
        <v>0</v>
      </c>
      <c r="AA306" s="184">
        <v>0</v>
      </c>
      <c r="AB306" s="184">
        <v>0</v>
      </c>
      <c r="AC306" s="185">
        <v>44.4</v>
      </c>
      <c r="AD306" s="185" t="s">
        <v>24</v>
      </c>
      <c r="AE306" s="184">
        <v>0</v>
      </c>
      <c r="AF306" s="185">
        <v>0</v>
      </c>
      <c r="AG306" s="184">
        <v>0</v>
      </c>
      <c r="AH306" s="185">
        <v>0</v>
      </c>
      <c r="AI306" s="184">
        <v>0</v>
      </c>
      <c r="AJ306" s="643">
        <v>0</v>
      </c>
    </row>
    <row r="307" spans="1:36" x14ac:dyDescent="0.2">
      <c r="A307" s="440" t="s">
        <v>119</v>
      </c>
      <c r="B307" s="642">
        <v>5</v>
      </c>
      <c r="C307" s="184">
        <v>0</v>
      </c>
      <c r="D307" s="184">
        <v>5</v>
      </c>
      <c r="E307" s="184">
        <v>0</v>
      </c>
      <c r="F307" s="184">
        <v>0</v>
      </c>
      <c r="G307" s="184">
        <v>0</v>
      </c>
      <c r="H307" s="184">
        <v>0</v>
      </c>
      <c r="I307" s="184">
        <v>0</v>
      </c>
      <c r="J307" s="184">
        <v>0</v>
      </c>
      <c r="K307" s="184">
        <v>0</v>
      </c>
      <c r="L307" s="184">
        <v>0</v>
      </c>
      <c r="M307" s="654" t="s">
        <v>24</v>
      </c>
      <c r="N307" s="670" t="s">
        <v>119</v>
      </c>
      <c r="O307" s="642">
        <v>0</v>
      </c>
      <c r="P307" s="184">
        <v>0</v>
      </c>
      <c r="Q307" s="184">
        <v>0</v>
      </c>
      <c r="R307" s="184">
        <v>0</v>
      </c>
      <c r="S307" s="184">
        <v>0</v>
      </c>
      <c r="T307" s="184">
        <v>0</v>
      </c>
      <c r="U307" s="184">
        <v>0</v>
      </c>
      <c r="V307" s="184">
        <v>2</v>
      </c>
      <c r="W307" s="184">
        <v>1</v>
      </c>
      <c r="X307" s="184">
        <v>2</v>
      </c>
      <c r="Y307" s="184">
        <v>0</v>
      </c>
      <c r="Z307" s="184">
        <v>0</v>
      </c>
      <c r="AA307" s="184">
        <v>0</v>
      </c>
      <c r="AB307" s="184">
        <v>0</v>
      </c>
      <c r="AC307" s="185">
        <v>46.7</v>
      </c>
      <c r="AD307" s="185" t="s">
        <v>24</v>
      </c>
      <c r="AE307" s="184">
        <v>0</v>
      </c>
      <c r="AF307" s="185">
        <v>0</v>
      </c>
      <c r="AG307" s="184">
        <v>0</v>
      </c>
      <c r="AH307" s="185">
        <v>0</v>
      </c>
      <c r="AI307" s="184">
        <v>0</v>
      </c>
      <c r="AJ307" s="643">
        <v>0</v>
      </c>
    </row>
    <row r="308" spans="1:36" x14ac:dyDescent="0.2">
      <c r="A308" s="440" t="s">
        <v>120</v>
      </c>
      <c r="B308" s="642">
        <v>6</v>
      </c>
      <c r="C308" s="184">
        <v>0</v>
      </c>
      <c r="D308" s="184">
        <v>5</v>
      </c>
      <c r="E308" s="184">
        <v>0</v>
      </c>
      <c r="F308" s="184">
        <v>1</v>
      </c>
      <c r="G308" s="184">
        <v>0</v>
      </c>
      <c r="H308" s="184">
        <v>0</v>
      </c>
      <c r="I308" s="184">
        <v>0</v>
      </c>
      <c r="J308" s="184">
        <v>0</v>
      </c>
      <c r="K308" s="184">
        <v>0</v>
      </c>
      <c r="L308" s="184">
        <v>0</v>
      </c>
      <c r="M308" s="654" t="s">
        <v>24</v>
      </c>
      <c r="N308" s="670" t="s">
        <v>120</v>
      </c>
      <c r="O308" s="642">
        <v>0</v>
      </c>
      <c r="P308" s="184">
        <v>0</v>
      </c>
      <c r="Q308" s="184">
        <v>0</v>
      </c>
      <c r="R308" s="184">
        <v>0</v>
      </c>
      <c r="S308" s="184">
        <v>0</v>
      </c>
      <c r="T308" s="184">
        <v>0</v>
      </c>
      <c r="U308" s="184">
        <v>0</v>
      </c>
      <c r="V308" s="184">
        <v>2</v>
      </c>
      <c r="W308" s="184">
        <v>2</v>
      </c>
      <c r="X308" s="184">
        <v>2</v>
      </c>
      <c r="Y308" s="184">
        <v>0</v>
      </c>
      <c r="Z308" s="184">
        <v>0</v>
      </c>
      <c r="AA308" s="184">
        <v>0</v>
      </c>
      <c r="AB308" s="184">
        <v>0</v>
      </c>
      <c r="AC308" s="185">
        <v>46.8</v>
      </c>
      <c r="AD308" s="185" t="s">
        <v>24</v>
      </c>
      <c r="AE308" s="184">
        <v>0</v>
      </c>
      <c r="AF308" s="185">
        <v>0</v>
      </c>
      <c r="AG308" s="184">
        <v>0</v>
      </c>
      <c r="AH308" s="185">
        <v>0</v>
      </c>
      <c r="AI308" s="184">
        <v>0</v>
      </c>
      <c r="AJ308" s="643">
        <v>0</v>
      </c>
    </row>
    <row r="309" spans="1:36" x14ac:dyDescent="0.2">
      <c r="A309" s="440" t="s">
        <v>72</v>
      </c>
      <c r="B309" s="642">
        <v>6</v>
      </c>
      <c r="C309" s="184">
        <v>0</v>
      </c>
      <c r="D309" s="184">
        <v>6</v>
      </c>
      <c r="E309" s="184">
        <v>0</v>
      </c>
      <c r="F309" s="184">
        <v>0</v>
      </c>
      <c r="G309" s="184">
        <v>0</v>
      </c>
      <c r="H309" s="184">
        <v>0</v>
      </c>
      <c r="I309" s="184">
        <v>0</v>
      </c>
      <c r="J309" s="184">
        <v>0</v>
      </c>
      <c r="K309" s="184">
        <v>0</v>
      </c>
      <c r="L309" s="184">
        <v>0</v>
      </c>
      <c r="M309" s="654" t="s">
        <v>24</v>
      </c>
      <c r="N309" s="670" t="s">
        <v>72</v>
      </c>
      <c r="O309" s="642">
        <v>0</v>
      </c>
      <c r="P309" s="184">
        <v>0</v>
      </c>
      <c r="Q309" s="184">
        <v>0</v>
      </c>
      <c r="R309" s="184">
        <v>0</v>
      </c>
      <c r="S309" s="184">
        <v>0</v>
      </c>
      <c r="T309" s="184">
        <v>2</v>
      </c>
      <c r="U309" s="184">
        <v>0</v>
      </c>
      <c r="V309" s="184">
        <v>0</v>
      </c>
      <c r="W309" s="184">
        <v>3</v>
      </c>
      <c r="X309" s="184">
        <v>1</v>
      </c>
      <c r="Y309" s="184">
        <v>0</v>
      </c>
      <c r="Z309" s="184">
        <v>0</v>
      </c>
      <c r="AA309" s="184">
        <v>0</v>
      </c>
      <c r="AB309" s="184">
        <v>0</v>
      </c>
      <c r="AC309" s="185">
        <v>44</v>
      </c>
      <c r="AD309" s="185" t="s">
        <v>24</v>
      </c>
      <c r="AE309" s="184">
        <v>0</v>
      </c>
      <c r="AF309" s="185">
        <v>0</v>
      </c>
      <c r="AG309" s="184">
        <v>0</v>
      </c>
      <c r="AH309" s="185">
        <v>0</v>
      </c>
      <c r="AI309" s="184">
        <v>0</v>
      </c>
      <c r="AJ309" s="643">
        <v>0</v>
      </c>
    </row>
    <row r="310" spans="1:36" x14ac:dyDescent="0.2">
      <c r="A310" s="440" t="s">
        <v>121</v>
      </c>
      <c r="B310" s="642">
        <v>6</v>
      </c>
      <c r="C310" s="184">
        <v>0</v>
      </c>
      <c r="D310" s="184">
        <v>6</v>
      </c>
      <c r="E310" s="184">
        <v>0</v>
      </c>
      <c r="F310" s="184">
        <v>0</v>
      </c>
      <c r="G310" s="184">
        <v>0</v>
      </c>
      <c r="H310" s="184">
        <v>0</v>
      </c>
      <c r="I310" s="184">
        <v>0</v>
      </c>
      <c r="J310" s="184">
        <v>0</v>
      </c>
      <c r="K310" s="184">
        <v>0</v>
      </c>
      <c r="L310" s="184">
        <v>0</v>
      </c>
      <c r="M310" s="654" t="s">
        <v>24</v>
      </c>
      <c r="N310" s="670" t="s">
        <v>121</v>
      </c>
      <c r="O310" s="642">
        <v>0</v>
      </c>
      <c r="P310" s="184">
        <v>0</v>
      </c>
      <c r="Q310" s="184">
        <v>0</v>
      </c>
      <c r="R310" s="184">
        <v>1</v>
      </c>
      <c r="S310" s="184">
        <v>0</v>
      </c>
      <c r="T310" s="184">
        <v>1</v>
      </c>
      <c r="U310" s="184">
        <v>1</v>
      </c>
      <c r="V310" s="184">
        <v>2</v>
      </c>
      <c r="W310" s="184">
        <v>0</v>
      </c>
      <c r="X310" s="184">
        <v>1</v>
      </c>
      <c r="Y310" s="184">
        <v>0</v>
      </c>
      <c r="Z310" s="184">
        <v>0</v>
      </c>
      <c r="AA310" s="184">
        <v>0</v>
      </c>
      <c r="AB310" s="184">
        <v>0</v>
      </c>
      <c r="AC310" s="185">
        <v>39</v>
      </c>
      <c r="AD310" s="185" t="s">
        <v>24</v>
      </c>
      <c r="AE310" s="184">
        <v>0</v>
      </c>
      <c r="AF310" s="185">
        <v>0</v>
      </c>
      <c r="AG310" s="184">
        <v>0</v>
      </c>
      <c r="AH310" s="185">
        <v>0</v>
      </c>
      <c r="AI310" s="184">
        <v>0</v>
      </c>
      <c r="AJ310" s="643">
        <v>0</v>
      </c>
    </row>
    <row r="311" spans="1:36" x14ac:dyDescent="0.2">
      <c r="A311" s="440" t="s">
        <v>122</v>
      </c>
      <c r="B311" s="642">
        <v>4</v>
      </c>
      <c r="C311" s="184">
        <v>0</v>
      </c>
      <c r="D311" s="184">
        <v>3</v>
      </c>
      <c r="E311" s="184">
        <v>1</v>
      </c>
      <c r="F311" s="184">
        <v>0</v>
      </c>
      <c r="G311" s="184">
        <v>0</v>
      </c>
      <c r="H311" s="184">
        <v>0</v>
      </c>
      <c r="I311" s="184">
        <v>0</v>
      </c>
      <c r="J311" s="184">
        <v>0</v>
      </c>
      <c r="K311" s="184">
        <v>0</v>
      </c>
      <c r="L311" s="184">
        <v>0</v>
      </c>
      <c r="M311" s="654" t="s">
        <v>24</v>
      </c>
      <c r="N311" s="670" t="s">
        <v>122</v>
      </c>
      <c r="O311" s="642">
        <v>0</v>
      </c>
      <c r="P311" s="184">
        <v>0</v>
      </c>
      <c r="Q311" s="184">
        <v>0</v>
      </c>
      <c r="R311" s="184">
        <v>0</v>
      </c>
      <c r="S311" s="184">
        <v>0</v>
      </c>
      <c r="T311" s="184">
        <v>2</v>
      </c>
      <c r="U311" s="184">
        <v>1</v>
      </c>
      <c r="V311" s="184">
        <v>1</v>
      </c>
      <c r="W311" s="184">
        <v>0</v>
      </c>
      <c r="X311" s="184">
        <v>0</v>
      </c>
      <c r="Y311" s="184">
        <v>0</v>
      </c>
      <c r="Z311" s="184">
        <v>0</v>
      </c>
      <c r="AA311" s="184">
        <v>0</v>
      </c>
      <c r="AB311" s="184">
        <v>0</v>
      </c>
      <c r="AC311" s="185">
        <v>37.299999999999997</v>
      </c>
      <c r="AD311" s="185" t="s">
        <v>24</v>
      </c>
      <c r="AE311" s="184">
        <v>0</v>
      </c>
      <c r="AF311" s="185">
        <v>0</v>
      </c>
      <c r="AG311" s="184">
        <v>0</v>
      </c>
      <c r="AH311" s="185">
        <v>0</v>
      </c>
      <c r="AI311" s="184">
        <v>0</v>
      </c>
      <c r="AJ311" s="643">
        <v>0</v>
      </c>
    </row>
    <row r="312" spans="1:36" x14ac:dyDescent="0.2">
      <c r="A312" s="440" t="s">
        <v>123</v>
      </c>
      <c r="B312" s="642">
        <v>6</v>
      </c>
      <c r="C312" s="184">
        <v>0</v>
      </c>
      <c r="D312" s="184">
        <v>5</v>
      </c>
      <c r="E312" s="184">
        <v>0</v>
      </c>
      <c r="F312" s="184">
        <v>1</v>
      </c>
      <c r="G312" s="184">
        <v>0</v>
      </c>
      <c r="H312" s="184">
        <v>0</v>
      </c>
      <c r="I312" s="184">
        <v>0</v>
      </c>
      <c r="J312" s="184">
        <v>0</v>
      </c>
      <c r="K312" s="184">
        <v>0</v>
      </c>
      <c r="L312" s="184">
        <v>0</v>
      </c>
      <c r="M312" s="654" t="s">
        <v>24</v>
      </c>
      <c r="N312" s="670" t="s">
        <v>123</v>
      </c>
      <c r="O312" s="642">
        <v>0</v>
      </c>
      <c r="P312" s="184">
        <v>0</v>
      </c>
      <c r="Q312" s="184">
        <v>0</v>
      </c>
      <c r="R312" s="184">
        <v>0</v>
      </c>
      <c r="S312" s="184">
        <v>0</v>
      </c>
      <c r="T312" s="184">
        <v>0</v>
      </c>
      <c r="U312" s="184">
        <v>1</v>
      </c>
      <c r="V312" s="184">
        <v>4</v>
      </c>
      <c r="W312" s="184">
        <v>1</v>
      </c>
      <c r="X312" s="184">
        <v>0</v>
      </c>
      <c r="Y312" s="184">
        <v>0</v>
      </c>
      <c r="Z312" s="184">
        <v>0</v>
      </c>
      <c r="AA312" s="184">
        <v>0</v>
      </c>
      <c r="AB312" s="184">
        <v>0</v>
      </c>
      <c r="AC312" s="185">
        <v>42.2</v>
      </c>
      <c r="AD312" s="185" t="s">
        <v>24</v>
      </c>
      <c r="AE312" s="184">
        <v>0</v>
      </c>
      <c r="AF312" s="185">
        <v>0</v>
      </c>
      <c r="AG312" s="184">
        <v>0</v>
      </c>
      <c r="AH312" s="185">
        <v>0</v>
      </c>
      <c r="AI312" s="184">
        <v>0</v>
      </c>
      <c r="AJ312" s="643">
        <v>0</v>
      </c>
    </row>
    <row r="313" spans="1:36" x14ac:dyDescent="0.2">
      <c r="A313" s="440" t="s">
        <v>74</v>
      </c>
      <c r="B313" s="642">
        <v>3</v>
      </c>
      <c r="C313" s="184">
        <v>0</v>
      </c>
      <c r="D313" s="184">
        <v>3</v>
      </c>
      <c r="E313" s="184">
        <v>0</v>
      </c>
      <c r="F313" s="184">
        <v>0</v>
      </c>
      <c r="G313" s="184">
        <v>0</v>
      </c>
      <c r="H313" s="184">
        <v>0</v>
      </c>
      <c r="I313" s="184">
        <v>0</v>
      </c>
      <c r="J313" s="184">
        <v>0</v>
      </c>
      <c r="K313" s="184">
        <v>0</v>
      </c>
      <c r="L313" s="184">
        <v>0</v>
      </c>
      <c r="M313" s="654" t="s">
        <v>24</v>
      </c>
      <c r="N313" s="670" t="s">
        <v>74</v>
      </c>
      <c r="O313" s="642">
        <v>0</v>
      </c>
      <c r="P313" s="184">
        <v>0</v>
      </c>
      <c r="Q313" s="184">
        <v>0</v>
      </c>
      <c r="R313" s="184">
        <v>0</v>
      </c>
      <c r="S313" s="184">
        <v>0</v>
      </c>
      <c r="T313" s="184">
        <v>0</v>
      </c>
      <c r="U313" s="184">
        <v>2</v>
      </c>
      <c r="V313" s="184">
        <v>0</v>
      </c>
      <c r="W313" s="184">
        <v>0</v>
      </c>
      <c r="X313" s="184">
        <v>1</v>
      </c>
      <c r="Y313" s="184">
        <v>0</v>
      </c>
      <c r="Z313" s="184">
        <v>0</v>
      </c>
      <c r="AA313" s="184">
        <v>0</v>
      </c>
      <c r="AB313" s="184">
        <v>0</v>
      </c>
      <c r="AC313" s="185">
        <v>43.5</v>
      </c>
      <c r="AD313" s="185" t="s">
        <v>24</v>
      </c>
      <c r="AE313" s="184">
        <v>0</v>
      </c>
      <c r="AF313" s="185">
        <v>0</v>
      </c>
      <c r="AG313" s="184">
        <v>0</v>
      </c>
      <c r="AH313" s="185">
        <v>0</v>
      </c>
      <c r="AI313" s="184">
        <v>0</v>
      </c>
      <c r="AJ313" s="643">
        <v>0</v>
      </c>
    </row>
    <row r="314" spans="1:36" x14ac:dyDescent="0.2">
      <c r="A314" s="440" t="s">
        <v>124</v>
      </c>
      <c r="B314" s="642">
        <v>1</v>
      </c>
      <c r="C314" s="184">
        <v>0</v>
      </c>
      <c r="D314" s="184">
        <v>1</v>
      </c>
      <c r="E314" s="184">
        <v>0</v>
      </c>
      <c r="F314" s="184">
        <v>0</v>
      </c>
      <c r="G314" s="184">
        <v>0</v>
      </c>
      <c r="H314" s="184">
        <v>0</v>
      </c>
      <c r="I314" s="184">
        <v>0</v>
      </c>
      <c r="J314" s="184">
        <v>0</v>
      </c>
      <c r="K314" s="184">
        <v>0</v>
      </c>
      <c r="L314" s="184">
        <v>0</v>
      </c>
      <c r="M314" s="654" t="s">
        <v>24</v>
      </c>
      <c r="N314" s="670" t="s">
        <v>124</v>
      </c>
      <c r="O314" s="642">
        <v>0</v>
      </c>
      <c r="P314" s="184">
        <v>0</v>
      </c>
      <c r="Q314" s="184">
        <v>0</v>
      </c>
      <c r="R314" s="184">
        <v>0</v>
      </c>
      <c r="S314" s="184">
        <v>0</v>
      </c>
      <c r="T314" s="184">
        <v>0</v>
      </c>
      <c r="U314" s="184">
        <v>0</v>
      </c>
      <c r="V314" s="184">
        <v>1</v>
      </c>
      <c r="W314" s="184">
        <v>0</v>
      </c>
      <c r="X314" s="184">
        <v>0</v>
      </c>
      <c r="Y314" s="184">
        <v>0</v>
      </c>
      <c r="Z314" s="184">
        <v>0</v>
      </c>
      <c r="AA314" s="184">
        <v>0</v>
      </c>
      <c r="AB314" s="184">
        <v>0</v>
      </c>
      <c r="AC314" s="185">
        <v>42</v>
      </c>
      <c r="AD314" s="185" t="s">
        <v>24</v>
      </c>
      <c r="AE314" s="184">
        <v>0</v>
      </c>
      <c r="AF314" s="185">
        <v>0</v>
      </c>
      <c r="AG314" s="184">
        <v>0</v>
      </c>
      <c r="AH314" s="185">
        <v>0</v>
      </c>
      <c r="AI314" s="184">
        <v>0</v>
      </c>
      <c r="AJ314" s="643">
        <v>0</v>
      </c>
    </row>
    <row r="315" spans="1:36" x14ac:dyDescent="0.2">
      <c r="A315" s="440" t="s">
        <v>125</v>
      </c>
      <c r="B315" s="642">
        <v>3</v>
      </c>
      <c r="C315" s="184">
        <v>0</v>
      </c>
      <c r="D315" s="184">
        <v>3</v>
      </c>
      <c r="E315" s="184">
        <v>0</v>
      </c>
      <c r="F315" s="184">
        <v>0</v>
      </c>
      <c r="G315" s="184">
        <v>0</v>
      </c>
      <c r="H315" s="184">
        <v>0</v>
      </c>
      <c r="I315" s="184">
        <v>0</v>
      </c>
      <c r="J315" s="184">
        <v>0</v>
      </c>
      <c r="K315" s="184">
        <v>0</v>
      </c>
      <c r="L315" s="184">
        <v>0</v>
      </c>
      <c r="M315" s="654" t="s">
        <v>24</v>
      </c>
      <c r="N315" s="670" t="s">
        <v>125</v>
      </c>
      <c r="O315" s="642">
        <v>0</v>
      </c>
      <c r="P315" s="184">
        <v>0</v>
      </c>
      <c r="Q315" s="184">
        <v>0</v>
      </c>
      <c r="R315" s="184">
        <v>0</v>
      </c>
      <c r="S315" s="184">
        <v>0</v>
      </c>
      <c r="T315" s="184">
        <v>0</v>
      </c>
      <c r="U315" s="184">
        <v>2</v>
      </c>
      <c r="V315" s="184">
        <v>1</v>
      </c>
      <c r="W315" s="184">
        <v>0</v>
      </c>
      <c r="X315" s="184">
        <v>0</v>
      </c>
      <c r="Y315" s="184">
        <v>0</v>
      </c>
      <c r="Z315" s="184">
        <v>0</v>
      </c>
      <c r="AA315" s="184">
        <v>0</v>
      </c>
      <c r="AB315" s="184">
        <v>0</v>
      </c>
      <c r="AC315" s="185">
        <v>38.4</v>
      </c>
      <c r="AD315" s="185" t="s">
        <v>24</v>
      </c>
      <c r="AE315" s="184">
        <v>0</v>
      </c>
      <c r="AF315" s="185">
        <v>0</v>
      </c>
      <c r="AG315" s="184">
        <v>0</v>
      </c>
      <c r="AH315" s="185">
        <v>0</v>
      </c>
      <c r="AI315" s="184">
        <v>0</v>
      </c>
      <c r="AJ315" s="643">
        <v>0</v>
      </c>
    </row>
    <row r="316" spans="1:36" x14ac:dyDescent="0.2">
      <c r="A316" s="440" t="s">
        <v>126</v>
      </c>
      <c r="B316" s="642">
        <v>4</v>
      </c>
      <c r="C316" s="184">
        <v>0</v>
      </c>
      <c r="D316" s="184">
        <v>4</v>
      </c>
      <c r="E316" s="184">
        <v>0</v>
      </c>
      <c r="F316" s="184">
        <v>0</v>
      </c>
      <c r="G316" s="184">
        <v>0</v>
      </c>
      <c r="H316" s="184">
        <v>0</v>
      </c>
      <c r="I316" s="184">
        <v>0</v>
      </c>
      <c r="J316" s="184">
        <v>0</v>
      </c>
      <c r="K316" s="184">
        <v>0</v>
      </c>
      <c r="L316" s="184">
        <v>0</v>
      </c>
      <c r="M316" s="654" t="s">
        <v>24</v>
      </c>
      <c r="N316" s="670" t="s">
        <v>126</v>
      </c>
      <c r="O316" s="642">
        <v>0</v>
      </c>
      <c r="P316" s="184">
        <v>0</v>
      </c>
      <c r="Q316" s="184">
        <v>0</v>
      </c>
      <c r="R316" s="184">
        <v>0</v>
      </c>
      <c r="S316" s="184">
        <v>0</v>
      </c>
      <c r="T316" s="184">
        <v>1</v>
      </c>
      <c r="U316" s="184">
        <v>1</v>
      </c>
      <c r="V316" s="184">
        <v>2</v>
      </c>
      <c r="W316" s="184">
        <v>0</v>
      </c>
      <c r="X316" s="184">
        <v>0</v>
      </c>
      <c r="Y316" s="184">
        <v>0</v>
      </c>
      <c r="Z316" s="184">
        <v>0</v>
      </c>
      <c r="AA316" s="184">
        <v>0</v>
      </c>
      <c r="AB316" s="184">
        <v>0</v>
      </c>
      <c r="AC316" s="185">
        <v>38.9</v>
      </c>
      <c r="AD316" s="185" t="s">
        <v>24</v>
      </c>
      <c r="AE316" s="184">
        <v>0</v>
      </c>
      <c r="AF316" s="185">
        <v>0</v>
      </c>
      <c r="AG316" s="184">
        <v>0</v>
      </c>
      <c r="AH316" s="185">
        <v>0</v>
      </c>
      <c r="AI316" s="184">
        <v>0</v>
      </c>
      <c r="AJ316" s="643">
        <v>0</v>
      </c>
    </row>
    <row r="317" spans="1:36" x14ac:dyDescent="0.2">
      <c r="A317" s="440" t="s">
        <v>76</v>
      </c>
      <c r="B317" s="642">
        <v>2</v>
      </c>
      <c r="C317" s="184">
        <v>0</v>
      </c>
      <c r="D317" s="184">
        <v>2</v>
      </c>
      <c r="E317" s="184">
        <v>0</v>
      </c>
      <c r="F317" s="184">
        <v>0</v>
      </c>
      <c r="G317" s="184">
        <v>0</v>
      </c>
      <c r="H317" s="184">
        <v>0</v>
      </c>
      <c r="I317" s="184">
        <v>0</v>
      </c>
      <c r="J317" s="184">
        <v>0</v>
      </c>
      <c r="K317" s="184">
        <v>0</v>
      </c>
      <c r="L317" s="184">
        <v>0</v>
      </c>
      <c r="M317" s="654" t="s">
        <v>24</v>
      </c>
      <c r="N317" s="670" t="s">
        <v>76</v>
      </c>
      <c r="O317" s="642">
        <v>0</v>
      </c>
      <c r="P317" s="184">
        <v>0</v>
      </c>
      <c r="Q317" s="184">
        <v>0</v>
      </c>
      <c r="R317" s="184">
        <v>0</v>
      </c>
      <c r="S317" s="184">
        <v>0</v>
      </c>
      <c r="T317" s="184">
        <v>0</v>
      </c>
      <c r="U317" s="184">
        <v>2</v>
      </c>
      <c r="V317" s="184">
        <v>0</v>
      </c>
      <c r="W317" s="184">
        <v>0</v>
      </c>
      <c r="X317" s="184">
        <v>0</v>
      </c>
      <c r="Y317" s="184">
        <v>0</v>
      </c>
      <c r="Z317" s="184">
        <v>0</v>
      </c>
      <c r="AA317" s="184">
        <v>0</v>
      </c>
      <c r="AB317" s="184">
        <v>0</v>
      </c>
      <c r="AC317" s="185">
        <v>38.799999999999997</v>
      </c>
      <c r="AD317" s="185" t="s">
        <v>24</v>
      </c>
      <c r="AE317" s="184">
        <v>0</v>
      </c>
      <c r="AF317" s="185">
        <v>0</v>
      </c>
      <c r="AG317" s="184">
        <v>0</v>
      </c>
      <c r="AH317" s="185">
        <v>0</v>
      </c>
      <c r="AI317" s="184">
        <v>0</v>
      </c>
      <c r="AJ317" s="643">
        <v>0</v>
      </c>
    </row>
    <row r="318" spans="1:36" x14ac:dyDescent="0.2">
      <c r="A318" s="440" t="s">
        <v>127</v>
      </c>
      <c r="B318" s="642">
        <v>4</v>
      </c>
      <c r="C318" s="184">
        <v>0</v>
      </c>
      <c r="D318" s="184">
        <v>4</v>
      </c>
      <c r="E318" s="184">
        <v>0</v>
      </c>
      <c r="F318" s="184">
        <v>0</v>
      </c>
      <c r="G318" s="184">
        <v>0</v>
      </c>
      <c r="H318" s="184">
        <v>0</v>
      </c>
      <c r="I318" s="184">
        <v>0</v>
      </c>
      <c r="J318" s="184">
        <v>0</v>
      </c>
      <c r="K318" s="184">
        <v>0</v>
      </c>
      <c r="L318" s="184">
        <v>0</v>
      </c>
      <c r="M318" s="654" t="s">
        <v>24</v>
      </c>
      <c r="N318" s="670" t="s">
        <v>127</v>
      </c>
      <c r="O318" s="642">
        <v>0</v>
      </c>
      <c r="P318" s="184">
        <v>0</v>
      </c>
      <c r="Q318" s="184">
        <v>0</v>
      </c>
      <c r="R318" s="184">
        <v>0</v>
      </c>
      <c r="S318" s="184">
        <v>0</v>
      </c>
      <c r="T318" s="184">
        <v>1</v>
      </c>
      <c r="U318" s="184">
        <v>1</v>
      </c>
      <c r="V318" s="184">
        <v>0</v>
      </c>
      <c r="W318" s="184">
        <v>1</v>
      </c>
      <c r="X318" s="184">
        <v>1</v>
      </c>
      <c r="Y318" s="184">
        <v>0</v>
      </c>
      <c r="Z318" s="184">
        <v>0</v>
      </c>
      <c r="AA318" s="184">
        <v>0</v>
      </c>
      <c r="AB318" s="184">
        <v>0</v>
      </c>
      <c r="AC318" s="185">
        <v>43.8</v>
      </c>
      <c r="AD318" s="185" t="s">
        <v>24</v>
      </c>
      <c r="AE318" s="184">
        <v>0</v>
      </c>
      <c r="AF318" s="185">
        <v>0</v>
      </c>
      <c r="AG318" s="184">
        <v>0</v>
      </c>
      <c r="AH318" s="185">
        <v>0</v>
      </c>
      <c r="AI318" s="184">
        <v>0</v>
      </c>
      <c r="AJ318" s="643">
        <v>0</v>
      </c>
    </row>
    <row r="319" spans="1:36" x14ac:dyDescent="0.2">
      <c r="A319" s="440" t="s">
        <v>128</v>
      </c>
      <c r="B319" s="642">
        <v>3</v>
      </c>
      <c r="C319" s="184">
        <v>0</v>
      </c>
      <c r="D319" s="184">
        <v>3</v>
      </c>
      <c r="E319" s="184">
        <v>0</v>
      </c>
      <c r="F319" s="184">
        <v>0</v>
      </c>
      <c r="G319" s="184">
        <v>0</v>
      </c>
      <c r="H319" s="184">
        <v>0</v>
      </c>
      <c r="I319" s="184">
        <v>0</v>
      </c>
      <c r="J319" s="184">
        <v>0</v>
      </c>
      <c r="K319" s="184">
        <v>0</v>
      </c>
      <c r="L319" s="184">
        <v>0</v>
      </c>
      <c r="M319" s="654" t="s">
        <v>24</v>
      </c>
      <c r="N319" s="670" t="s">
        <v>128</v>
      </c>
      <c r="O319" s="642">
        <v>0</v>
      </c>
      <c r="P319" s="184">
        <v>0</v>
      </c>
      <c r="Q319" s="184">
        <v>0</v>
      </c>
      <c r="R319" s="184">
        <v>0</v>
      </c>
      <c r="S319" s="184">
        <v>1</v>
      </c>
      <c r="T319" s="184">
        <v>0</v>
      </c>
      <c r="U319" s="184">
        <v>1</v>
      </c>
      <c r="V319" s="184">
        <v>0</v>
      </c>
      <c r="W319" s="184">
        <v>0</v>
      </c>
      <c r="X319" s="184">
        <v>1</v>
      </c>
      <c r="Y319" s="184">
        <v>0</v>
      </c>
      <c r="Z319" s="184">
        <v>0</v>
      </c>
      <c r="AA319" s="184">
        <v>0</v>
      </c>
      <c r="AB319" s="184">
        <v>0</v>
      </c>
      <c r="AC319" s="185">
        <v>39</v>
      </c>
      <c r="AD319" s="185" t="s">
        <v>24</v>
      </c>
      <c r="AE319" s="184">
        <v>0</v>
      </c>
      <c r="AF319" s="185">
        <v>0</v>
      </c>
      <c r="AG319" s="184">
        <v>0</v>
      </c>
      <c r="AH319" s="185">
        <v>0</v>
      </c>
      <c r="AI319" s="184">
        <v>0</v>
      </c>
      <c r="AJ319" s="643">
        <v>0</v>
      </c>
    </row>
    <row r="320" spans="1:36" x14ac:dyDescent="0.2">
      <c r="A320" s="440" t="s">
        <v>129</v>
      </c>
      <c r="B320" s="642">
        <v>2</v>
      </c>
      <c r="C320" s="184">
        <v>0</v>
      </c>
      <c r="D320" s="184">
        <v>1</v>
      </c>
      <c r="E320" s="184">
        <v>0</v>
      </c>
      <c r="F320" s="184">
        <v>1</v>
      </c>
      <c r="G320" s="184">
        <v>0</v>
      </c>
      <c r="H320" s="184">
        <v>0</v>
      </c>
      <c r="I320" s="184">
        <v>0</v>
      </c>
      <c r="J320" s="184">
        <v>0</v>
      </c>
      <c r="K320" s="184">
        <v>0</v>
      </c>
      <c r="L320" s="184">
        <v>0</v>
      </c>
      <c r="M320" s="654" t="s">
        <v>24</v>
      </c>
      <c r="N320" s="670" t="s">
        <v>129</v>
      </c>
      <c r="O320" s="642">
        <v>0</v>
      </c>
      <c r="P320" s="184">
        <v>0</v>
      </c>
      <c r="Q320" s="184">
        <v>0</v>
      </c>
      <c r="R320" s="184">
        <v>0</v>
      </c>
      <c r="S320" s="184">
        <v>0</v>
      </c>
      <c r="T320" s="184">
        <v>0</v>
      </c>
      <c r="U320" s="184">
        <v>1</v>
      </c>
      <c r="V320" s="184">
        <v>1</v>
      </c>
      <c r="W320" s="184">
        <v>0</v>
      </c>
      <c r="X320" s="184">
        <v>0</v>
      </c>
      <c r="Y320" s="184">
        <v>0</v>
      </c>
      <c r="Z320" s="184">
        <v>0</v>
      </c>
      <c r="AA320" s="184">
        <v>0</v>
      </c>
      <c r="AB320" s="184">
        <v>0</v>
      </c>
      <c r="AC320" s="185">
        <v>39.9</v>
      </c>
      <c r="AD320" s="185" t="s">
        <v>24</v>
      </c>
      <c r="AE320" s="184">
        <v>0</v>
      </c>
      <c r="AF320" s="185">
        <v>0</v>
      </c>
      <c r="AG320" s="184">
        <v>0</v>
      </c>
      <c r="AH320" s="185">
        <v>0</v>
      </c>
      <c r="AI320" s="184">
        <v>0</v>
      </c>
      <c r="AJ320" s="643">
        <v>0</v>
      </c>
    </row>
    <row r="321" spans="1:37" x14ac:dyDescent="0.2">
      <c r="A321" s="440" t="s">
        <v>78</v>
      </c>
      <c r="B321" s="642">
        <v>2</v>
      </c>
      <c r="C321" s="184">
        <v>0</v>
      </c>
      <c r="D321" s="184">
        <v>2</v>
      </c>
      <c r="E321" s="184">
        <v>0</v>
      </c>
      <c r="F321" s="184">
        <v>0</v>
      </c>
      <c r="G321" s="184">
        <v>0</v>
      </c>
      <c r="H321" s="184">
        <v>0</v>
      </c>
      <c r="I321" s="184">
        <v>0</v>
      </c>
      <c r="J321" s="184">
        <v>0</v>
      </c>
      <c r="K321" s="184">
        <v>0</v>
      </c>
      <c r="L321" s="184">
        <v>0</v>
      </c>
      <c r="M321" s="654" t="s">
        <v>24</v>
      </c>
      <c r="N321" s="670" t="s">
        <v>78</v>
      </c>
      <c r="O321" s="642">
        <v>0</v>
      </c>
      <c r="P321" s="184">
        <v>0</v>
      </c>
      <c r="Q321" s="184">
        <v>0</v>
      </c>
      <c r="R321" s="184">
        <v>0</v>
      </c>
      <c r="S321" s="184">
        <v>0</v>
      </c>
      <c r="T321" s="184">
        <v>0</v>
      </c>
      <c r="U321" s="184">
        <v>0</v>
      </c>
      <c r="V321" s="184">
        <v>1</v>
      </c>
      <c r="W321" s="184">
        <v>0</v>
      </c>
      <c r="X321" s="184">
        <v>1</v>
      </c>
      <c r="Y321" s="184">
        <v>0</v>
      </c>
      <c r="Z321" s="184">
        <v>0</v>
      </c>
      <c r="AA321" s="184">
        <v>0</v>
      </c>
      <c r="AB321" s="184">
        <v>0</v>
      </c>
      <c r="AC321" s="185">
        <v>46.6</v>
      </c>
      <c r="AD321" s="185" t="s">
        <v>24</v>
      </c>
      <c r="AE321" s="184">
        <v>0</v>
      </c>
      <c r="AF321" s="185">
        <v>0</v>
      </c>
      <c r="AG321" s="184">
        <v>0</v>
      </c>
      <c r="AH321" s="185">
        <v>0</v>
      </c>
      <c r="AI321" s="184">
        <v>0</v>
      </c>
      <c r="AJ321" s="643">
        <v>0</v>
      </c>
    </row>
    <row r="322" spans="1:37" x14ac:dyDescent="0.2">
      <c r="A322" s="440" t="s">
        <v>130</v>
      </c>
      <c r="B322" s="642">
        <v>1</v>
      </c>
      <c r="C322" s="184">
        <v>0</v>
      </c>
      <c r="D322" s="184">
        <v>0</v>
      </c>
      <c r="E322" s="184">
        <v>0</v>
      </c>
      <c r="F322" s="184">
        <v>1</v>
      </c>
      <c r="G322" s="184">
        <v>0</v>
      </c>
      <c r="H322" s="184">
        <v>0</v>
      </c>
      <c r="I322" s="184">
        <v>0</v>
      </c>
      <c r="J322" s="184">
        <v>0</v>
      </c>
      <c r="K322" s="184">
        <v>0</v>
      </c>
      <c r="L322" s="184">
        <v>0</v>
      </c>
      <c r="M322" s="654" t="s">
        <v>24</v>
      </c>
      <c r="N322" s="670" t="s">
        <v>130</v>
      </c>
      <c r="O322" s="642">
        <v>0</v>
      </c>
      <c r="P322" s="184">
        <v>0</v>
      </c>
      <c r="Q322" s="184">
        <v>0</v>
      </c>
      <c r="R322" s="184">
        <v>0</v>
      </c>
      <c r="S322" s="184">
        <v>0</v>
      </c>
      <c r="T322" s="184">
        <v>0</v>
      </c>
      <c r="U322" s="184">
        <v>0</v>
      </c>
      <c r="V322" s="184">
        <v>1</v>
      </c>
      <c r="W322" s="184">
        <v>0</v>
      </c>
      <c r="X322" s="184">
        <v>0</v>
      </c>
      <c r="Y322" s="184">
        <v>0</v>
      </c>
      <c r="Z322" s="184">
        <v>0</v>
      </c>
      <c r="AA322" s="184">
        <v>0</v>
      </c>
      <c r="AB322" s="184">
        <v>0</v>
      </c>
      <c r="AC322" s="185">
        <v>41.9</v>
      </c>
      <c r="AD322" s="185" t="s">
        <v>24</v>
      </c>
      <c r="AE322" s="184">
        <v>0</v>
      </c>
      <c r="AF322" s="185">
        <v>0</v>
      </c>
      <c r="AG322" s="184">
        <v>0</v>
      </c>
      <c r="AH322" s="185">
        <v>0</v>
      </c>
      <c r="AI322" s="184">
        <v>0</v>
      </c>
      <c r="AJ322" s="643">
        <v>0</v>
      </c>
    </row>
    <row r="323" spans="1:37" x14ac:dyDescent="0.2">
      <c r="A323" s="440" t="s">
        <v>131</v>
      </c>
      <c r="B323" s="642">
        <v>0</v>
      </c>
      <c r="C323" s="184">
        <v>0</v>
      </c>
      <c r="D323" s="184">
        <v>0</v>
      </c>
      <c r="E323" s="184">
        <v>0</v>
      </c>
      <c r="F323" s="184">
        <v>0</v>
      </c>
      <c r="G323" s="184">
        <v>0</v>
      </c>
      <c r="H323" s="184">
        <v>0</v>
      </c>
      <c r="I323" s="184">
        <v>0</v>
      </c>
      <c r="J323" s="184">
        <v>0</v>
      </c>
      <c r="K323" s="184">
        <v>0</v>
      </c>
      <c r="L323" s="184">
        <v>0</v>
      </c>
      <c r="M323" s="654" t="s">
        <v>24</v>
      </c>
      <c r="N323" s="670" t="s">
        <v>131</v>
      </c>
      <c r="O323" s="642">
        <v>0</v>
      </c>
      <c r="P323" s="184">
        <v>0</v>
      </c>
      <c r="Q323" s="184">
        <v>0</v>
      </c>
      <c r="R323" s="184">
        <v>0</v>
      </c>
      <c r="S323" s="184">
        <v>0</v>
      </c>
      <c r="T323" s="184">
        <v>0</v>
      </c>
      <c r="U323" s="184">
        <v>0</v>
      </c>
      <c r="V323" s="184">
        <v>0</v>
      </c>
      <c r="W323" s="184">
        <v>0</v>
      </c>
      <c r="X323" s="184">
        <v>0</v>
      </c>
      <c r="Y323" s="184">
        <v>0</v>
      </c>
      <c r="Z323" s="184">
        <v>0</v>
      </c>
      <c r="AA323" s="184">
        <v>0</v>
      </c>
      <c r="AB323" s="184">
        <v>0</v>
      </c>
      <c r="AC323" s="185" t="s">
        <v>24</v>
      </c>
      <c r="AD323" s="185" t="s">
        <v>24</v>
      </c>
      <c r="AE323" s="184">
        <v>0</v>
      </c>
      <c r="AF323" s="185">
        <v>0</v>
      </c>
      <c r="AG323" s="184">
        <v>0</v>
      </c>
      <c r="AH323" s="185">
        <v>0</v>
      </c>
      <c r="AI323" s="184">
        <v>0</v>
      </c>
      <c r="AJ323" s="643">
        <v>0</v>
      </c>
    </row>
    <row r="324" spans="1:37" x14ac:dyDescent="0.2">
      <c r="A324" s="440" t="s">
        <v>132</v>
      </c>
      <c r="B324" s="648">
        <v>0</v>
      </c>
      <c r="C324" s="649">
        <v>0</v>
      </c>
      <c r="D324" s="649">
        <v>0</v>
      </c>
      <c r="E324" s="649">
        <v>0</v>
      </c>
      <c r="F324" s="649">
        <v>0</v>
      </c>
      <c r="G324" s="649">
        <v>0</v>
      </c>
      <c r="H324" s="649">
        <v>0</v>
      </c>
      <c r="I324" s="649">
        <v>0</v>
      </c>
      <c r="J324" s="649">
        <v>0</v>
      </c>
      <c r="K324" s="649">
        <v>0</v>
      </c>
      <c r="L324" s="649">
        <v>0</v>
      </c>
      <c r="M324" s="657" t="s">
        <v>24</v>
      </c>
      <c r="N324" s="670" t="s">
        <v>132</v>
      </c>
      <c r="O324" s="648">
        <v>0</v>
      </c>
      <c r="P324" s="649">
        <v>0</v>
      </c>
      <c r="Q324" s="649">
        <v>0</v>
      </c>
      <c r="R324" s="649">
        <v>0</v>
      </c>
      <c r="S324" s="649">
        <v>0</v>
      </c>
      <c r="T324" s="649">
        <v>0</v>
      </c>
      <c r="U324" s="649">
        <v>0</v>
      </c>
      <c r="V324" s="649">
        <v>0</v>
      </c>
      <c r="W324" s="649">
        <v>0</v>
      </c>
      <c r="X324" s="649">
        <v>0</v>
      </c>
      <c r="Y324" s="649">
        <v>0</v>
      </c>
      <c r="Z324" s="649">
        <v>0</v>
      </c>
      <c r="AA324" s="649">
        <v>0</v>
      </c>
      <c r="AB324" s="649">
        <v>0</v>
      </c>
      <c r="AC324" s="650" t="s">
        <v>24</v>
      </c>
      <c r="AD324" s="650" t="s">
        <v>24</v>
      </c>
      <c r="AE324" s="649">
        <v>0</v>
      </c>
      <c r="AF324" s="650">
        <v>0</v>
      </c>
      <c r="AG324" s="649">
        <v>0</v>
      </c>
      <c r="AH324" s="650">
        <v>0</v>
      </c>
      <c r="AI324" s="649">
        <v>0</v>
      </c>
      <c r="AJ324" s="651">
        <v>0</v>
      </c>
    </row>
    <row r="325" spans="1:37" x14ac:dyDescent="0.2">
      <c r="A325" s="440" t="s">
        <v>133</v>
      </c>
      <c r="B325" s="598">
        <v>560</v>
      </c>
      <c r="C325" s="599">
        <v>9</v>
      </c>
      <c r="D325" s="599">
        <v>486</v>
      </c>
      <c r="E325" s="599">
        <v>4</v>
      </c>
      <c r="F325" s="599">
        <v>55</v>
      </c>
      <c r="G325" s="599">
        <v>3</v>
      </c>
      <c r="H325" s="599">
        <v>1</v>
      </c>
      <c r="I325" s="599">
        <v>2</v>
      </c>
      <c r="J325" s="599">
        <v>0</v>
      </c>
      <c r="K325" s="599">
        <v>0</v>
      </c>
      <c r="L325" s="599">
        <v>0</v>
      </c>
      <c r="M325" s="599" t="s">
        <v>24</v>
      </c>
      <c r="N325" s="587" t="s">
        <v>133</v>
      </c>
      <c r="O325" s="599">
        <v>3</v>
      </c>
      <c r="P325" s="599">
        <v>7</v>
      </c>
      <c r="Q325" s="599">
        <v>3</v>
      </c>
      <c r="R325" s="599">
        <v>7</v>
      </c>
      <c r="S325" s="599">
        <v>27</v>
      </c>
      <c r="T325" s="599">
        <v>89</v>
      </c>
      <c r="U325" s="599">
        <v>140</v>
      </c>
      <c r="V325" s="599">
        <v>157</v>
      </c>
      <c r="W325" s="599">
        <v>76</v>
      </c>
      <c r="X325" s="599">
        <v>48</v>
      </c>
      <c r="Y325" s="599">
        <v>3</v>
      </c>
      <c r="Z325" s="599">
        <v>0</v>
      </c>
      <c r="AA325" s="599">
        <v>0</v>
      </c>
      <c r="AB325" s="599">
        <v>0</v>
      </c>
      <c r="AC325" s="611">
        <v>39.65</v>
      </c>
      <c r="AD325" s="611">
        <v>47.472000000000001</v>
      </c>
      <c r="AE325" s="599">
        <v>3</v>
      </c>
      <c r="AF325" s="611">
        <v>0.31269452225334576</v>
      </c>
      <c r="AG325" s="599">
        <v>0</v>
      </c>
      <c r="AH325" s="611">
        <v>0</v>
      </c>
      <c r="AI325" s="599">
        <v>0</v>
      </c>
      <c r="AJ325" s="612">
        <v>0</v>
      </c>
    </row>
    <row r="326" spans="1:37" x14ac:dyDescent="0.2">
      <c r="A326" s="440" t="s">
        <v>134</v>
      </c>
      <c r="B326" s="601">
        <v>654</v>
      </c>
      <c r="C326" s="441">
        <v>9</v>
      </c>
      <c r="D326" s="441">
        <v>574</v>
      </c>
      <c r="E326" s="441">
        <v>6</v>
      </c>
      <c r="F326" s="441">
        <v>59</v>
      </c>
      <c r="G326" s="441">
        <v>3</v>
      </c>
      <c r="H326" s="441">
        <v>1</v>
      </c>
      <c r="I326" s="441">
        <v>2</v>
      </c>
      <c r="J326" s="441">
        <v>0</v>
      </c>
      <c r="K326" s="441">
        <v>0</v>
      </c>
      <c r="L326" s="441">
        <v>0</v>
      </c>
      <c r="M326" s="441" t="s">
        <v>24</v>
      </c>
      <c r="N326" s="588" t="s">
        <v>134</v>
      </c>
      <c r="O326" s="441">
        <v>3</v>
      </c>
      <c r="P326" s="441">
        <v>7</v>
      </c>
      <c r="Q326" s="441">
        <v>3</v>
      </c>
      <c r="R326" s="441">
        <v>8</v>
      </c>
      <c r="S326" s="441">
        <v>27</v>
      </c>
      <c r="T326" s="441">
        <v>101</v>
      </c>
      <c r="U326" s="441">
        <v>164</v>
      </c>
      <c r="V326" s="441">
        <v>184</v>
      </c>
      <c r="W326" s="441">
        <v>90</v>
      </c>
      <c r="X326" s="441">
        <v>63</v>
      </c>
      <c r="Y326" s="441">
        <v>4</v>
      </c>
      <c r="Z326" s="441">
        <v>0</v>
      </c>
      <c r="AA326" s="441">
        <v>0</v>
      </c>
      <c r="AB326" s="441">
        <v>0</v>
      </c>
      <c r="AC326" s="442">
        <v>40.368750000000006</v>
      </c>
      <c r="AD326" s="442">
        <v>47.503846153846148</v>
      </c>
      <c r="AE326" s="441">
        <v>4</v>
      </c>
      <c r="AF326" s="442">
        <v>0.54702089169000934</v>
      </c>
      <c r="AG326" s="441">
        <v>0</v>
      </c>
      <c r="AH326" s="442">
        <v>0</v>
      </c>
      <c r="AI326" s="441">
        <v>0</v>
      </c>
      <c r="AJ326" s="613">
        <v>0</v>
      </c>
    </row>
    <row r="327" spans="1:37" x14ac:dyDescent="0.2">
      <c r="A327" s="440" t="s">
        <v>135</v>
      </c>
      <c r="B327" s="601">
        <v>668</v>
      </c>
      <c r="C327" s="441">
        <v>9</v>
      </c>
      <c r="D327" s="441">
        <v>586</v>
      </c>
      <c r="E327" s="441">
        <v>6</v>
      </c>
      <c r="F327" s="441">
        <v>61</v>
      </c>
      <c r="G327" s="441">
        <v>3</v>
      </c>
      <c r="H327" s="441">
        <v>1</v>
      </c>
      <c r="I327" s="441">
        <v>2</v>
      </c>
      <c r="J327" s="441">
        <v>0</v>
      </c>
      <c r="K327" s="441">
        <v>0</v>
      </c>
      <c r="L327" s="441">
        <v>0</v>
      </c>
      <c r="M327" s="441" t="s">
        <v>24</v>
      </c>
      <c r="N327" s="588" t="s">
        <v>135</v>
      </c>
      <c r="O327" s="441">
        <v>3</v>
      </c>
      <c r="P327" s="441">
        <v>7</v>
      </c>
      <c r="Q327" s="441">
        <v>3</v>
      </c>
      <c r="R327" s="441">
        <v>8</v>
      </c>
      <c r="S327" s="441">
        <v>28</v>
      </c>
      <c r="T327" s="441">
        <v>102</v>
      </c>
      <c r="U327" s="441">
        <v>169</v>
      </c>
      <c r="V327" s="441">
        <v>187</v>
      </c>
      <c r="W327" s="441">
        <v>91</v>
      </c>
      <c r="X327" s="441">
        <v>66</v>
      </c>
      <c r="Y327" s="441">
        <v>4</v>
      </c>
      <c r="Z327" s="441">
        <v>0</v>
      </c>
      <c r="AA327" s="441">
        <v>0</v>
      </c>
      <c r="AB327" s="441">
        <v>0</v>
      </c>
      <c r="AC327" s="442">
        <v>40.480000000000011</v>
      </c>
      <c r="AD327" s="442">
        <v>47.503846153846148</v>
      </c>
      <c r="AE327" s="441">
        <v>4</v>
      </c>
      <c r="AF327" s="442">
        <v>0.48624079261334163</v>
      </c>
      <c r="AG327" s="441">
        <v>0</v>
      </c>
      <c r="AH327" s="442">
        <v>0</v>
      </c>
      <c r="AI327" s="441">
        <v>0</v>
      </c>
      <c r="AJ327" s="613">
        <v>0</v>
      </c>
    </row>
    <row r="328" spans="1:37" x14ac:dyDescent="0.2">
      <c r="A328" s="440" t="s">
        <v>136</v>
      </c>
      <c r="B328" s="603">
        <v>683</v>
      </c>
      <c r="C328" s="604">
        <v>9</v>
      </c>
      <c r="D328" s="604">
        <v>600</v>
      </c>
      <c r="E328" s="604">
        <v>6</v>
      </c>
      <c r="F328" s="604">
        <v>62</v>
      </c>
      <c r="G328" s="604">
        <v>3</v>
      </c>
      <c r="H328" s="604">
        <v>1</v>
      </c>
      <c r="I328" s="604">
        <v>2</v>
      </c>
      <c r="J328" s="604">
        <v>0</v>
      </c>
      <c r="K328" s="604">
        <v>0</v>
      </c>
      <c r="L328" s="604">
        <v>0</v>
      </c>
      <c r="M328" s="604" t="s">
        <v>24</v>
      </c>
      <c r="N328" s="589" t="s">
        <v>136</v>
      </c>
      <c r="O328" s="604">
        <v>3</v>
      </c>
      <c r="P328" s="604">
        <v>7</v>
      </c>
      <c r="Q328" s="604">
        <v>3</v>
      </c>
      <c r="R328" s="604">
        <v>8</v>
      </c>
      <c r="S328" s="604">
        <v>28</v>
      </c>
      <c r="T328" s="604">
        <v>102</v>
      </c>
      <c r="U328" s="604">
        <v>171</v>
      </c>
      <c r="V328" s="604">
        <v>192</v>
      </c>
      <c r="W328" s="604">
        <v>96</v>
      </c>
      <c r="X328" s="604">
        <v>69</v>
      </c>
      <c r="Y328" s="604">
        <v>4</v>
      </c>
      <c r="Z328" s="604">
        <v>0</v>
      </c>
      <c r="AA328" s="604">
        <v>0</v>
      </c>
      <c r="AB328" s="604">
        <v>0</v>
      </c>
      <c r="AC328" s="614">
        <v>40.844736842105277</v>
      </c>
      <c r="AD328" s="614">
        <v>47.503846153846148</v>
      </c>
      <c r="AE328" s="604">
        <v>4</v>
      </c>
      <c r="AF328" s="614">
        <v>0.36468059446000622</v>
      </c>
      <c r="AG328" s="604">
        <v>0</v>
      </c>
      <c r="AH328" s="614">
        <v>0</v>
      </c>
      <c r="AI328" s="604">
        <v>0</v>
      </c>
      <c r="AJ328" s="615">
        <v>0</v>
      </c>
    </row>
    <row r="329" spans="1:37" x14ac:dyDescent="0.2">
      <c r="A329" s="440"/>
      <c r="B329" s="660"/>
      <c r="C329" s="661"/>
      <c r="D329" s="661"/>
      <c r="E329" s="661"/>
      <c r="F329" s="661"/>
      <c r="G329" s="661"/>
      <c r="H329" s="661"/>
      <c r="I329" s="661"/>
      <c r="J329" s="661"/>
      <c r="K329" s="661"/>
      <c r="L329" s="661"/>
      <c r="M329" s="661"/>
      <c r="N329" s="662"/>
      <c r="O329" s="661"/>
      <c r="P329" s="661"/>
      <c r="Q329" s="661"/>
      <c r="R329" s="661"/>
      <c r="S329" s="661"/>
      <c r="T329" s="661"/>
      <c r="U329" s="661"/>
      <c r="V329" s="661"/>
      <c r="W329" s="661"/>
      <c r="X329" s="661"/>
      <c r="Y329" s="661"/>
      <c r="Z329" s="661"/>
      <c r="AA329" s="661"/>
      <c r="AB329" s="661"/>
      <c r="AC329" s="663"/>
      <c r="AD329" s="663"/>
      <c r="AE329" s="661"/>
      <c r="AF329" s="663"/>
      <c r="AG329" s="661"/>
      <c r="AH329" s="663"/>
      <c r="AI329" s="661"/>
      <c r="AJ329" s="663"/>
    </row>
    <row r="330" spans="1:37" x14ac:dyDescent="0.2">
      <c r="A330" s="440"/>
      <c r="B330" s="664"/>
      <c r="C330" s="169"/>
      <c r="D330" s="169"/>
      <c r="E330" s="169"/>
      <c r="F330" s="169"/>
      <c r="G330" s="169"/>
      <c r="H330" s="169"/>
      <c r="I330" s="169"/>
      <c r="J330" s="169"/>
      <c r="K330" s="169"/>
      <c r="L330" s="169"/>
      <c r="M330" s="169"/>
      <c r="N330" s="178"/>
      <c r="O330" s="169"/>
      <c r="P330" s="169"/>
      <c r="Q330" s="169"/>
      <c r="R330" s="169"/>
      <c r="S330" s="169"/>
      <c r="T330" s="169"/>
      <c r="U330" s="169"/>
      <c r="V330" s="169"/>
      <c r="W330" s="169"/>
      <c r="X330" s="169"/>
      <c r="Y330" s="169"/>
      <c r="Z330" s="169"/>
      <c r="AA330" s="169"/>
      <c r="AB330" s="169"/>
      <c r="AC330" s="177"/>
      <c r="AD330" s="177"/>
      <c r="AE330" s="169"/>
      <c r="AF330" s="177"/>
      <c r="AG330" s="169"/>
      <c r="AH330" s="177"/>
      <c r="AI330" s="169"/>
      <c r="AJ330" s="177"/>
    </row>
    <row r="331" spans="1:37" x14ac:dyDescent="0.2">
      <c r="A331" s="659">
        <f>A224+1</f>
        <v>43266</v>
      </c>
      <c r="B331" s="664"/>
      <c r="C331" s="169"/>
      <c r="D331" s="169"/>
      <c r="E331" s="169"/>
      <c r="F331" s="169"/>
      <c r="G331" s="169"/>
      <c r="H331" s="169"/>
      <c r="I331" s="169"/>
      <c r="J331" s="169"/>
      <c r="K331" s="169"/>
      <c r="L331" s="169"/>
      <c r="M331" s="169"/>
      <c r="N331" s="178"/>
      <c r="O331" s="169"/>
      <c r="P331" s="169"/>
      <c r="Q331" s="169"/>
      <c r="R331" s="169"/>
      <c r="S331" s="169"/>
      <c r="T331" s="169"/>
      <c r="U331" s="169"/>
      <c r="V331" s="169"/>
      <c r="W331" s="169"/>
      <c r="X331" s="169"/>
      <c r="Y331" s="169"/>
      <c r="Z331" s="169"/>
      <c r="AA331" s="169"/>
      <c r="AB331" s="169"/>
      <c r="AC331" s="177"/>
      <c r="AD331" s="177"/>
      <c r="AE331" s="169"/>
      <c r="AF331" s="177"/>
      <c r="AG331" s="169"/>
      <c r="AH331" s="177"/>
      <c r="AI331" s="169"/>
      <c r="AJ331" s="177"/>
    </row>
    <row r="332" spans="1:37" x14ac:dyDescent="0.2">
      <c r="A332" s="440"/>
      <c r="B332" s="665"/>
      <c r="C332" s="666"/>
      <c r="D332" s="666"/>
      <c r="E332" s="666"/>
      <c r="F332" s="666"/>
      <c r="G332" s="666"/>
      <c r="H332" s="666"/>
      <c r="I332" s="666"/>
      <c r="J332" s="666"/>
      <c r="K332" s="666"/>
      <c r="L332" s="666"/>
      <c r="M332" s="666"/>
      <c r="N332" s="667"/>
      <c r="O332" s="666"/>
      <c r="P332" s="666"/>
      <c r="Q332" s="666"/>
      <c r="R332" s="666"/>
      <c r="S332" s="666"/>
      <c r="T332" s="666"/>
      <c r="U332" s="666"/>
      <c r="V332" s="666"/>
      <c r="W332" s="666"/>
      <c r="X332" s="666"/>
      <c r="Y332" s="666"/>
      <c r="Z332" s="666"/>
      <c r="AA332" s="666"/>
      <c r="AB332" s="666"/>
      <c r="AC332" s="668"/>
      <c r="AD332" s="668"/>
      <c r="AE332" s="666"/>
      <c r="AF332" s="668"/>
      <c r="AG332" s="666"/>
      <c r="AH332" s="668"/>
      <c r="AI332" s="666"/>
      <c r="AJ332" s="668"/>
      <c r="AK332" s="686"/>
    </row>
    <row r="333" spans="1:37" x14ac:dyDescent="0.2">
      <c r="A333" s="566" t="s">
        <v>253</v>
      </c>
      <c r="B333" s="576" t="s">
        <v>0</v>
      </c>
      <c r="C333" s="577" t="s">
        <v>442</v>
      </c>
      <c r="D333" s="577" t="s">
        <v>215</v>
      </c>
      <c r="E333" s="577" t="s">
        <v>443</v>
      </c>
      <c r="F333" s="577" t="s">
        <v>444</v>
      </c>
      <c r="G333" s="577" t="s">
        <v>445</v>
      </c>
      <c r="H333" s="577" t="s">
        <v>446</v>
      </c>
      <c r="I333" s="577" t="s">
        <v>447</v>
      </c>
      <c r="J333" s="577" t="s">
        <v>448</v>
      </c>
      <c r="K333" s="577" t="s">
        <v>449</v>
      </c>
      <c r="L333" s="577" t="s">
        <v>450</v>
      </c>
      <c r="M333" s="577"/>
      <c r="N333" s="587" t="s">
        <v>11</v>
      </c>
      <c r="O333" s="577" t="s">
        <v>268</v>
      </c>
      <c r="P333" s="577" t="s">
        <v>269</v>
      </c>
      <c r="Q333" s="577" t="s">
        <v>270</v>
      </c>
      <c r="R333" s="577" t="s">
        <v>271</v>
      </c>
      <c r="S333" s="577" t="s">
        <v>272</v>
      </c>
      <c r="T333" s="577" t="s">
        <v>273</v>
      </c>
      <c r="U333" s="577" t="s">
        <v>274</v>
      </c>
      <c r="V333" s="577" t="s">
        <v>275</v>
      </c>
      <c r="W333" s="577" t="s">
        <v>276</v>
      </c>
      <c r="X333" s="577" t="s">
        <v>277</v>
      </c>
      <c r="Y333" s="577" t="s">
        <v>278</v>
      </c>
      <c r="Z333" s="577" t="s">
        <v>279</v>
      </c>
      <c r="AA333" s="577" t="s">
        <v>280</v>
      </c>
      <c r="AB333" s="577" t="s">
        <v>281</v>
      </c>
      <c r="AC333" s="629" t="s">
        <v>258</v>
      </c>
      <c r="AD333" s="629" t="s">
        <v>13</v>
      </c>
      <c r="AE333" s="577" t="s">
        <v>166</v>
      </c>
      <c r="AF333" s="629" t="s">
        <v>259</v>
      </c>
      <c r="AG333" s="630" t="s">
        <v>260</v>
      </c>
      <c r="AH333" s="631" t="s">
        <v>261</v>
      </c>
      <c r="AI333" s="630" t="s">
        <v>262</v>
      </c>
      <c r="AJ333" s="632" t="s">
        <v>263</v>
      </c>
    </row>
    <row r="334" spans="1:37" x14ac:dyDescent="0.2">
      <c r="A334" s="440" t="s">
        <v>24</v>
      </c>
      <c r="B334" s="579" t="s">
        <v>24</v>
      </c>
      <c r="C334" s="443" t="s">
        <v>25</v>
      </c>
      <c r="D334" s="443" t="s">
        <v>26</v>
      </c>
      <c r="E334" s="443" t="s">
        <v>27</v>
      </c>
      <c r="F334" s="443" t="s">
        <v>28</v>
      </c>
      <c r="G334" s="443" t="s">
        <v>29</v>
      </c>
      <c r="H334" s="443" t="s">
        <v>30</v>
      </c>
      <c r="I334" s="443" t="s">
        <v>31</v>
      </c>
      <c r="J334" s="443" t="s">
        <v>32</v>
      </c>
      <c r="K334" s="443" t="s">
        <v>33</v>
      </c>
      <c r="L334" s="443" t="s">
        <v>34</v>
      </c>
      <c r="M334" s="443" t="s">
        <v>24</v>
      </c>
      <c r="N334" s="588" t="s">
        <v>24</v>
      </c>
      <c r="O334" s="443" t="s">
        <v>451</v>
      </c>
      <c r="P334" s="443" t="s">
        <v>34</v>
      </c>
      <c r="Q334" s="443" t="s">
        <v>452</v>
      </c>
      <c r="R334" s="443" t="s">
        <v>453</v>
      </c>
      <c r="S334" s="443" t="s">
        <v>454</v>
      </c>
      <c r="T334" s="443" t="s">
        <v>455</v>
      </c>
      <c r="U334" s="443" t="s">
        <v>456</v>
      </c>
      <c r="V334" s="443" t="s">
        <v>457</v>
      </c>
      <c r="W334" s="443" t="s">
        <v>458</v>
      </c>
      <c r="X334" s="443" t="s">
        <v>459</v>
      </c>
      <c r="Y334" s="443" t="s">
        <v>460</v>
      </c>
      <c r="Z334" s="443" t="s">
        <v>461</v>
      </c>
      <c r="AA334" s="443" t="s">
        <v>462</v>
      </c>
      <c r="AB334" s="443" t="s">
        <v>463</v>
      </c>
      <c r="AC334" s="444"/>
      <c r="AD334" s="444">
        <v>0</v>
      </c>
      <c r="AE334" s="443">
        <v>60</v>
      </c>
      <c r="AF334" s="443">
        <v>60</v>
      </c>
      <c r="AG334" s="445">
        <v>65</v>
      </c>
      <c r="AH334" s="445">
        <v>65</v>
      </c>
      <c r="AI334" s="445">
        <v>75</v>
      </c>
      <c r="AJ334" s="633">
        <v>75</v>
      </c>
    </row>
    <row r="335" spans="1:37" ht="13.5" thickBot="1" x14ac:dyDescent="0.25">
      <c r="A335" s="440" t="s">
        <v>24</v>
      </c>
      <c r="B335" s="579" t="s">
        <v>24</v>
      </c>
      <c r="C335" s="582" t="s">
        <v>24</v>
      </c>
      <c r="D335" s="582" t="s">
        <v>24</v>
      </c>
      <c r="E335" s="582" t="s">
        <v>24</v>
      </c>
      <c r="F335" s="582" t="s">
        <v>24</v>
      </c>
      <c r="G335" s="582" t="s">
        <v>24</v>
      </c>
      <c r="H335" s="582" t="s">
        <v>24</v>
      </c>
      <c r="I335" s="582" t="s">
        <v>24</v>
      </c>
      <c r="J335" s="582" t="s">
        <v>24</v>
      </c>
      <c r="K335" s="582" t="s">
        <v>24</v>
      </c>
      <c r="L335" s="582" t="s">
        <v>24</v>
      </c>
      <c r="M335" s="582" t="s">
        <v>24</v>
      </c>
      <c r="N335" s="589" t="s">
        <v>24</v>
      </c>
      <c r="O335" s="582" t="s">
        <v>34</v>
      </c>
      <c r="P335" s="582" t="s">
        <v>452</v>
      </c>
      <c r="Q335" s="582" t="s">
        <v>453</v>
      </c>
      <c r="R335" s="582" t="s">
        <v>454</v>
      </c>
      <c r="S335" s="582" t="s">
        <v>455</v>
      </c>
      <c r="T335" s="582" t="s">
        <v>456</v>
      </c>
      <c r="U335" s="582" t="s">
        <v>457</v>
      </c>
      <c r="V335" s="582" t="s">
        <v>458</v>
      </c>
      <c r="W335" s="582" t="s">
        <v>459</v>
      </c>
      <c r="X335" s="582" t="s">
        <v>460</v>
      </c>
      <c r="Y335" s="582" t="s">
        <v>461</v>
      </c>
      <c r="Z335" s="582" t="s">
        <v>462</v>
      </c>
      <c r="AA335" s="582" t="s">
        <v>463</v>
      </c>
      <c r="AB335" s="582" t="s">
        <v>464</v>
      </c>
      <c r="AC335" s="634"/>
      <c r="AD335" s="634"/>
      <c r="AE335" s="582"/>
      <c r="AF335" s="634"/>
      <c r="AG335" s="635" t="s">
        <v>35</v>
      </c>
      <c r="AH335" s="636" t="s">
        <v>35</v>
      </c>
      <c r="AI335" s="635" t="s">
        <v>36</v>
      </c>
      <c r="AJ335" s="637" t="s">
        <v>36</v>
      </c>
    </row>
    <row r="336" spans="1:37" ht="13.5" thickBot="1" x14ac:dyDescent="0.25">
      <c r="A336" s="440" t="s">
        <v>37</v>
      </c>
      <c r="B336" s="691">
        <v>1</v>
      </c>
      <c r="C336" s="652">
        <v>0</v>
      </c>
      <c r="D336" s="639">
        <v>1</v>
      </c>
      <c r="E336" s="639">
        <v>0</v>
      </c>
      <c r="F336" s="639">
        <v>0</v>
      </c>
      <c r="G336" s="639">
        <v>0</v>
      </c>
      <c r="H336" s="639">
        <v>0</v>
      </c>
      <c r="I336" s="639">
        <v>0</v>
      </c>
      <c r="J336" s="639">
        <v>0</v>
      </c>
      <c r="K336" s="639">
        <v>0</v>
      </c>
      <c r="L336" s="639">
        <v>0</v>
      </c>
      <c r="M336" s="671" t="s">
        <v>24</v>
      </c>
      <c r="N336" s="587" t="s">
        <v>37</v>
      </c>
      <c r="O336" s="652">
        <v>0</v>
      </c>
      <c r="P336" s="639">
        <v>0</v>
      </c>
      <c r="Q336" s="639">
        <v>0</v>
      </c>
      <c r="R336" s="639">
        <v>0</v>
      </c>
      <c r="S336" s="639">
        <v>0</v>
      </c>
      <c r="T336" s="639">
        <v>0</v>
      </c>
      <c r="U336" s="639">
        <v>0</v>
      </c>
      <c r="V336" s="639">
        <v>0</v>
      </c>
      <c r="W336" s="639">
        <v>1</v>
      </c>
      <c r="X336" s="639">
        <v>0</v>
      </c>
      <c r="Y336" s="639">
        <v>0</v>
      </c>
      <c r="Z336" s="639">
        <v>0</v>
      </c>
      <c r="AA336" s="639">
        <v>0</v>
      </c>
      <c r="AB336" s="639">
        <v>0</v>
      </c>
      <c r="AC336" s="640">
        <v>47.5</v>
      </c>
      <c r="AD336" s="640" t="s">
        <v>24</v>
      </c>
      <c r="AE336" s="639">
        <v>0</v>
      </c>
      <c r="AF336" s="640">
        <v>0</v>
      </c>
      <c r="AG336" s="639">
        <v>0</v>
      </c>
      <c r="AH336" s="640">
        <v>0</v>
      </c>
      <c r="AI336" s="639">
        <v>0</v>
      </c>
      <c r="AJ336" s="641">
        <v>0</v>
      </c>
    </row>
    <row r="337" spans="1:36" x14ac:dyDescent="0.2">
      <c r="A337" s="440" t="s">
        <v>38</v>
      </c>
      <c r="B337" s="646">
        <v>2</v>
      </c>
      <c r="C337" s="184">
        <v>0</v>
      </c>
      <c r="D337" s="184">
        <v>2</v>
      </c>
      <c r="E337" s="184">
        <v>0</v>
      </c>
      <c r="F337" s="184">
        <v>0</v>
      </c>
      <c r="G337" s="184">
        <v>0</v>
      </c>
      <c r="H337" s="184">
        <v>0</v>
      </c>
      <c r="I337" s="184">
        <v>0</v>
      </c>
      <c r="J337" s="184">
        <v>0</v>
      </c>
      <c r="K337" s="184">
        <v>0</v>
      </c>
      <c r="L337" s="184">
        <v>0</v>
      </c>
      <c r="M337" s="616" t="s">
        <v>24</v>
      </c>
      <c r="N337" s="588" t="s">
        <v>38</v>
      </c>
      <c r="O337" s="191">
        <v>0</v>
      </c>
      <c r="P337" s="184">
        <v>0</v>
      </c>
      <c r="Q337" s="184">
        <v>0</v>
      </c>
      <c r="R337" s="184">
        <v>0</v>
      </c>
      <c r="S337" s="184">
        <v>0</v>
      </c>
      <c r="T337" s="184">
        <v>0</v>
      </c>
      <c r="U337" s="184">
        <v>0</v>
      </c>
      <c r="V337" s="184">
        <v>1</v>
      </c>
      <c r="W337" s="184">
        <v>1</v>
      </c>
      <c r="X337" s="184">
        <v>0</v>
      </c>
      <c r="Y337" s="184">
        <v>0</v>
      </c>
      <c r="Z337" s="184">
        <v>0</v>
      </c>
      <c r="AA337" s="184">
        <v>0</v>
      </c>
      <c r="AB337" s="184">
        <v>0</v>
      </c>
      <c r="AC337" s="185">
        <v>42.9</v>
      </c>
      <c r="AD337" s="185" t="s">
        <v>24</v>
      </c>
      <c r="AE337" s="184">
        <v>0</v>
      </c>
      <c r="AF337" s="185">
        <v>0</v>
      </c>
      <c r="AG337" s="184">
        <v>0</v>
      </c>
      <c r="AH337" s="185">
        <v>0</v>
      </c>
      <c r="AI337" s="184">
        <v>0</v>
      </c>
      <c r="AJ337" s="643">
        <v>0</v>
      </c>
    </row>
    <row r="338" spans="1:36" x14ac:dyDescent="0.2">
      <c r="A338" s="440" t="s">
        <v>40</v>
      </c>
      <c r="B338" s="642">
        <v>0</v>
      </c>
      <c r="C338" s="184">
        <v>0</v>
      </c>
      <c r="D338" s="184">
        <v>0</v>
      </c>
      <c r="E338" s="184">
        <v>0</v>
      </c>
      <c r="F338" s="184">
        <v>0</v>
      </c>
      <c r="G338" s="184">
        <v>0</v>
      </c>
      <c r="H338" s="184">
        <v>0</v>
      </c>
      <c r="I338" s="184">
        <v>0</v>
      </c>
      <c r="J338" s="184">
        <v>0</v>
      </c>
      <c r="K338" s="184">
        <v>0</v>
      </c>
      <c r="L338" s="184">
        <v>0</v>
      </c>
      <c r="M338" s="616" t="s">
        <v>24</v>
      </c>
      <c r="N338" s="588" t="s">
        <v>40</v>
      </c>
      <c r="O338" s="191">
        <v>0</v>
      </c>
      <c r="P338" s="184">
        <v>0</v>
      </c>
      <c r="Q338" s="184">
        <v>0</v>
      </c>
      <c r="R338" s="184">
        <v>0</v>
      </c>
      <c r="S338" s="184">
        <v>0</v>
      </c>
      <c r="T338" s="184">
        <v>0</v>
      </c>
      <c r="U338" s="184">
        <v>0</v>
      </c>
      <c r="V338" s="184">
        <v>0</v>
      </c>
      <c r="W338" s="184">
        <v>0</v>
      </c>
      <c r="X338" s="184">
        <v>0</v>
      </c>
      <c r="Y338" s="184">
        <v>0</v>
      </c>
      <c r="Z338" s="184">
        <v>0</v>
      </c>
      <c r="AA338" s="184">
        <v>0</v>
      </c>
      <c r="AB338" s="184">
        <v>0</v>
      </c>
      <c r="AC338" s="185" t="s">
        <v>24</v>
      </c>
      <c r="AD338" s="185" t="s">
        <v>24</v>
      </c>
      <c r="AE338" s="184">
        <v>0</v>
      </c>
      <c r="AF338" s="185">
        <v>0</v>
      </c>
      <c r="AG338" s="184">
        <v>0</v>
      </c>
      <c r="AH338" s="185">
        <v>0</v>
      </c>
      <c r="AI338" s="184">
        <v>0</v>
      </c>
      <c r="AJ338" s="643">
        <v>0</v>
      </c>
    </row>
    <row r="339" spans="1:36" x14ac:dyDescent="0.2">
      <c r="A339" s="440" t="s">
        <v>42</v>
      </c>
      <c r="B339" s="642">
        <v>0</v>
      </c>
      <c r="C339" s="184">
        <v>0</v>
      </c>
      <c r="D339" s="184">
        <v>0</v>
      </c>
      <c r="E339" s="184">
        <v>0</v>
      </c>
      <c r="F339" s="184">
        <v>0</v>
      </c>
      <c r="G339" s="184">
        <v>0</v>
      </c>
      <c r="H339" s="184">
        <v>0</v>
      </c>
      <c r="I339" s="184">
        <v>0</v>
      </c>
      <c r="J339" s="184">
        <v>0</v>
      </c>
      <c r="K339" s="184">
        <v>0</v>
      </c>
      <c r="L339" s="184">
        <v>0</v>
      </c>
      <c r="M339" s="616" t="s">
        <v>24</v>
      </c>
      <c r="N339" s="588" t="s">
        <v>42</v>
      </c>
      <c r="O339" s="191">
        <v>0</v>
      </c>
      <c r="P339" s="184">
        <v>0</v>
      </c>
      <c r="Q339" s="184">
        <v>0</v>
      </c>
      <c r="R339" s="184">
        <v>0</v>
      </c>
      <c r="S339" s="184">
        <v>0</v>
      </c>
      <c r="T339" s="184">
        <v>0</v>
      </c>
      <c r="U339" s="184">
        <v>0</v>
      </c>
      <c r="V339" s="184">
        <v>0</v>
      </c>
      <c r="W339" s="184">
        <v>0</v>
      </c>
      <c r="X339" s="184">
        <v>0</v>
      </c>
      <c r="Y339" s="184">
        <v>0</v>
      </c>
      <c r="Z339" s="184">
        <v>0</v>
      </c>
      <c r="AA339" s="184">
        <v>0</v>
      </c>
      <c r="AB339" s="184">
        <v>0</v>
      </c>
      <c r="AC339" s="185" t="s">
        <v>24</v>
      </c>
      <c r="AD339" s="185" t="s">
        <v>24</v>
      </c>
      <c r="AE339" s="184">
        <v>0</v>
      </c>
      <c r="AF339" s="185">
        <v>0</v>
      </c>
      <c r="AG339" s="184">
        <v>0</v>
      </c>
      <c r="AH339" s="185">
        <v>0</v>
      </c>
      <c r="AI339" s="184">
        <v>0</v>
      </c>
      <c r="AJ339" s="643">
        <v>0</v>
      </c>
    </row>
    <row r="340" spans="1:36" x14ac:dyDescent="0.2">
      <c r="A340" s="440" t="s">
        <v>39</v>
      </c>
      <c r="B340" s="642">
        <v>1</v>
      </c>
      <c r="C340" s="184">
        <v>0</v>
      </c>
      <c r="D340" s="184">
        <v>1</v>
      </c>
      <c r="E340" s="184">
        <v>0</v>
      </c>
      <c r="F340" s="184">
        <v>0</v>
      </c>
      <c r="G340" s="184">
        <v>0</v>
      </c>
      <c r="H340" s="184">
        <v>0</v>
      </c>
      <c r="I340" s="184">
        <v>0</v>
      </c>
      <c r="J340" s="184">
        <v>0</v>
      </c>
      <c r="K340" s="184">
        <v>0</v>
      </c>
      <c r="L340" s="184">
        <v>0</v>
      </c>
      <c r="M340" s="616" t="s">
        <v>24</v>
      </c>
      <c r="N340" s="588" t="s">
        <v>39</v>
      </c>
      <c r="O340" s="191">
        <v>0</v>
      </c>
      <c r="P340" s="184">
        <v>0</v>
      </c>
      <c r="Q340" s="184">
        <v>0</v>
      </c>
      <c r="R340" s="184">
        <v>0</v>
      </c>
      <c r="S340" s="184">
        <v>0</v>
      </c>
      <c r="T340" s="184">
        <v>0</v>
      </c>
      <c r="U340" s="184">
        <v>0</v>
      </c>
      <c r="V340" s="184">
        <v>0</v>
      </c>
      <c r="W340" s="184">
        <v>1</v>
      </c>
      <c r="X340" s="184">
        <v>0</v>
      </c>
      <c r="Y340" s="184">
        <v>0</v>
      </c>
      <c r="Z340" s="184">
        <v>0</v>
      </c>
      <c r="AA340" s="184">
        <v>0</v>
      </c>
      <c r="AB340" s="184">
        <v>0</v>
      </c>
      <c r="AC340" s="185">
        <v>45.8</v>
      </c>
      <c r="AD340" s="185" t="s">
        <v>24</v>
      </c>
      <c r="AE340" s="184">
        <v>0</v>
      </c>
      <c r="AF340" s="185">
        <v>0</v>
      </c>
      <c r="AG340" s="184">
        <v>0</v>
      </c>
      <c r="AH340" s="185">
        <v>0</v>
      </c>
      <c r="AI340" s="184">
        <v>0</v>
      </c>
      <c r="AJ340" s="643">
        <v>0</v>
      </c>
    </row>
    <row r="341" spans="1:36" x14ac:dyDescent="0.2">
      <c r="A341" s="440" t="s">
        <v>45</v>
      </c>
      <c r="B341" s="642">
        <v>0</v>
      </c>
      <c r="C341" s="184">
        <v>0</v>
      </c>
      <c r="D341" s="184">
        <v>0</v>
      </c>
      <c r="E341" s="184">
        <v>0</v>
      </c>
      <c r="F341" s="184">
        <v>0</v>
      </c>
      <c r="G341" s="184">
        <v>0</v>
      </c>
      <c r="H341" s="184">
        <v>0</v>
      </c>
      <c r="I341" s="184">
        <v>0</v>
      </c>
      <c r="J341" s="184">
        <v>0</v>
      </c>
      <c r="K341" s="184">
        <v>0</v>
      </c>
      <c r="L341" s="184">
        <v>0</v>
      </c>
      <c r="M341" s="616" t="s">
        <v>24</v>
      </c>
      <c r="N341" s="588" t="s">
        <v>45</v>
      </c>
      <c r="O341" s="191">
        <v>0</v>
      </c>
      <c r="P341" s="184">
        <v>0</v>
      </c>
      <c r="Q341" s="184">
        <v>0</v>
      </c>
      <c r="R341" s="184">
        <v>0</v>
      </c>
      <c r="S341" s="184">
        <v>0</v>
      </c>
      <c r="T341" s="184">
        <v>0</v>
      </c>
      <c r="U341" s="184">
        <v>0</v>
      </c>
      <c r="V341" s="184">
        <v>0</v>
      </c>
      <c r="W341" s="184">
        <v>0</v>
      </c>
      <c r="X341" s="184">
        <v>0</v>
      </c>
      <c r="Y341" s="184">
        <v>0</v>
      </c>
      <c r="Z341" s="184">
        <v>0</v>
      </c>
      <c r="AA341" s="184">
        <v>0</v>
      </c>
      <c r="AB341" s="184">
        <v>0</v>
      </c>
      <c r="AC341" s="185" t="s">
        <v>24</v>
      </c>
      <c r="AD341" s="185" t="s">
        <v>24</v>
      </c>
      <c r="AE341" s="184">
        <v>0</v>
      </c>
      <c r="AF341" s="185">
        <v>0</v>
      </c>
      <c r="AG341" s="184">
        <v>0</v>
      </c>
      <c r="AH341" s="185">
        <v>0</v>
      </c>
      <c r="AI341" s="184">
        <v>0</v>
      </c>
      <c r="AJ341" s="643">
        <v>0</v>
      </c>
    </row>
    <row r="342" spans="1:36" x14ac:dyDescent="0.2">
      <c r="A342" s="440" t="s">
        <v>47</v>
      </c>
      <c r="B342" s="642">
        <v>0</v>
      </c>
      <c r="C342" s="184">
        <v>0</v>
      </c>
      <c r="D342" s="184">
        <v>0</v>
      </c>
      <c r="E342" s="184">
        <v>0</v>
      </c>
      <c r="F342" s="184">
        <v>0</v>
      </c>
      <c r="G342" s="184">
        <v>0</v>
      </c>
      <c r="H342" s="184">
        <v>0</v>
      </c>
      <c r="I342" s="184">
        <v>0</v>
      </c>
      <c r="J342" s="184">
        <v>0</v>
      </c>
      <c r="K342" s="184">
        <v>0</v>
      </c>
      <c r="L342" s="184">
        <v>0</v>
      </c>
      <c r="M342" s="616" t="s">
        <v>24</v>
      </c>
      <c r="N342" s="588" t="s">
        <v>47</v>
      </c>
      <c r="O342" s="191">
        <v>0</v>
      </c>
      <c r="P342" s="184">
        <v>0</v>
      </c>
      <c r="Q342" s="184">
        <v>0</v>
      </c>
      <c r="R342" s="184">
        <v>0</v>
      </c>
      <c r="S342" s="184">
        <v>0</v>
      </c>
      <c r="T342" s="184">
        <v>0</v>
      </c>
      <c r="U342" s="184">
        <v>0</v>
      </c>
      <c r="V342" s="184">
        <v>0</v>
      </c>
      <c r="W342" s="184">
        <v>0</v>
      </c>
      <c r="X342" s="184">
        <v>0</v>
      </c>
      <c r="Y342" s="184">
        <v>0</v>
      </c>
      <c r="Z342" s="184">
        <v>0</v>
      </c>
      <c r="AA342" s="184">
        <v>0</v>
      </c>
      <c r="AB342" s="184">
        <v>0</v>
      </c>
      <c r="AC342" s="185" t="s">
        <v>24</v>
      </c>
      <c r="AD342" s="185" t="s">
        <v>24</v>
      </c>
      <c r="AE342" s="184">
        <v>0</v>
      </c>
      <c r="AF342" s="185">
        <v>0</v>
      </c>
      <c r="AG342" s="184">
        <v>0</v>
      </c>
      <c r="AH342" s="185">
        <v>0</v>
      </c>
      <c r="AI342" s="184">
        <v>0</v>
      </c>
      <c r="AJ342" s="643">
        <v>0</v>
      </c>
    </row>
    <row r="343" spans="1:36" x14ac:dyDescent="0.2">
      <c r="A343" s="440" t="s">
        <v>49</v>
      </c>
      <c r="B343" s="642">
        <v>0</v>
      </c>
      <c r="C343" s="184">
        <v>0</v>
      </c>
      <c r="D343" s="184">
        <v>0</v>
      </c>
      <c r="E343" s="184">
        <v>0</v>
      </c>
      <c r="F343" s="184">
        <v>0</v>
      </c>
      <c r="G343" s="184">
        <v>0</v>
      </c>
      <c r="H343" s="184">
        <v>0</v>
      </c>
      <c r="I343" s="184">
        <v>0</v>
      </c>
      <c r="J343" s="184">
        <v>0</v>
      </c>
      <c r="K343" s="184">
        <v>0</v>
      </c>
      <c r="L343" s="184">
        <v>0</v>
      </c>
      <c r="M343" s="616" t="s">
        <v>24</v>
      </c>
      <c r="N343" s="588" t="s">
        <v>49</v>
      </c>
      <c r="O343" s="191">
        <v>0</v>
      </c>
      <c r="P343" s="184">
        <v>0</v>
      </c>
      <c r="Q343" s="184">
        <v>0</v>
      </c>
      <c r="R343" s="184">
        <v>0</v>
      </c>
      <c r="S343" s="184">
        <v>0</v>
      </c>
      <c r="T343" s="184">
        <v>0</v>
      </c>
      <c r="U343" s="184">
        <v>0</v>
      </c>
      <c r="V343" s="184">
        <v>0</v>
      </c>
      <c r="W343" s="184">
        <v>0</v>
      </c>
      <c r="X343" s="184">
        <v>0</v>
      </c>
      <c r="Y343" s="184">
        <v>0</v>
      </c>
      <c r="Z343" s="184">
        <v>0</v>
      </c>
      <c r="AA343" s="184">
        <v>0</v>
      </c>
      <c r="AB343" s="184">
        <v>0</v>
      </c>
      <c r="AC343" s="185" t="s">
        <v>24</v>
      </c>
      <c r="AD343" s="185" t="s">
        <v>24</v>
      </c>
      <c r="AE343" s="184">
        <v>0</v>
      </c>
      <c r="AF343" s="185">
        <v>0</v>
      </c>
      <c r="AG343" s="184">
        <v>0</v>
      </c>
      <c r="AH343" s="185">
        <v>0</v>
      </c>
      <c r="AI343" s="184">
        <v>0</v>
      </c>
      <c r="AJ343" s="643">
        <v>0</v>
      </c>
    </row>
    <row r="344" spans="1:36" x14ac:dyDescent="0.2">
      <c r="A344" s="440" t="s">
        <v>41</v>
      </c>
      <c r="B344" s="642">
        <v>0</v>
      </c>
      <c r="C344" s="184">
        <v>0</v>
      </c>
      <c r="D344" s="184">
        <v>0</v>
      </c>
      <c r="E344" s="184">
        <v>0</v>
      </c>
      <c r="F344" s="184">
        <v>0</v>
      </c>
      <c r="G344" s="184">
        <v>0</v>
      </c>
      <c r="H344" s="184">
        <v>0</v>
      </c>
      <c r="I344" s="184">
        <v>0</v>
      </c>
      <c r="J344" s="184">
        <v>0</v>
      </c>
      <c r="K344" s="184">
        <v>0</v>
      </c>
      <c r="L344" s="184">
        <v>0</v>
      </c>
      <c r="M344" s="616" t="s">
        <v>24</v>
      </c>
      <c r="N344" s="588" t="s">
        <v>41</v>
      </c>
      <c r="O344" s="191">
        <v>0</v>
      </c>
      <c r="P344" s="184">
        <v>0</v>
      </c>
      <c r="Q344" s="184">
        <v>0</v>
      </c>
      <c r="R344" s="184">
        <v>0</v>
      </c>
      <c r="S344" s="184">
        <v>0</v>
      </c>
      <c r="T344" s="184">
        <v>0</v>
      </c>
      <c r="U344" s="184">
        <v>0</v>
      </c>
      <c r="V344" s="184">
        <v>0</v>
      </c>
      <c r="W344" s="184">
        <v>0</v>
      </c>
      <c r="X344" s="184">
        <v>0</v>
      </c>
      <c r="Y344" s="184">
        <v>0</v>
      </c>
      <c r="Z344" s="184">
        <v>0</v>
      </c>
      <c r="AA344" s="184">
        <v>0</v>
      </c>
      <c r="AB344" s="184">
        <v>0</v>
      </c>
      <c r="AC344" s="185" t="s">
        <v>24</v>
      </c>
      <c r="AD344" s="185" t="s">
        <v>24</v>
      </c>
      <c r="AE344" s="184">
        <v>0</v>
      </c>
      <c r="AF344" s="185">
        <v>0</v>
      </c>
      <c r="AG344" s="184">
        <v>0</v>
      </c>
      <c r="AH344" s="185">
        <v>0</v>
      </c>
      <c r="AI344" s="184">
        <v>0</v>
      </c>
      <c r="AJ344" s="643">
        <v>0</v>
      </c>
    </row>
    <row r="345" spans="1:36" x14ac:dyDescent="0.2">
      <c r="A345" s="440" t="s">
        <v>52</v>
      </c>
      <c r="B345" s="642">
        <v>0</v>
      </c>
      <c r="C345" s="184">
        <v>0</v>
      </c>
      <c r="D345" s="184">
        <v>0</v>
      </c>
      <c r="E345" s="184">
        <v>0</v>
      </c>
      <c r="F345" s="184">
        <v>0</v>
      </c>
      <c r="G345" s="184">
        <v>0</v>
      </c>
      <c r="H345" s="184">
        <v>0</v>
      </c>
      <c r="I345" s="184">
        <v>0</v>
      </c>
      <c r="J345" s="184">
        <v>0</v>
      </c>
      <c r="K345" s="184">
        <v>0</v>
      </c>
      <c r="L345" s="184">
        <v>0</v>
      </c>
      <c r="M345" s="616" t="s">
        <v>24</v>
      </c>
      <c r="N345" s="588" t="s">
        <v>52</v>
      </c>
      <c r="O345" s="191">
        <v>0</v>
      </c>
      <c r="P345" s="184">
        <v>0</v>
      </c>
      <c r="Q345" s="184">
        <v>0</v>
      </c>
      <c r="R345" s="184">
        <v>0</v>
      </c>
      <c r="S345" s="184">
        <v>0</v>
      </c>
      <c r="T345" s="184">
        <v>0</v>
      </c>
      <c r="U345" s="184">
        <v>0</v>
      </c>
      <c r="V345" s="184">
        <v>0</v>
      </c>
      <c r="W345" s="184">
        <v>0</v>
      </c>
      <c r="X345" s="184">
        <v>0</v>
      </c>
      <c r="Y345" s="184">
        <v>0</v>
      </c>
      <c r="Z345" s="184">
        <v>0</v>
      </c>
      <c r="AA345" s="184">
        <v>0</v>
      </c>
      <c r="AB345" s="184">
        <v>0</v>
      </c>
      <c r="AC345" s="185" t="s">
        <v>24</v>
      </c>
      <c r="AD345" s="185" t="s">
        <v>24</v>
      </c>
      <c r="AE345" s="184">
        <v>0</v>
      </c>
      <c r="AF345" s="185">
        <v>0</v>
      </c>
      <c r="AG345" s="184">
        <v>0</v>
      </c>
      <c r="AH345" s="185">
        <v>0</v>
      </c>
      <c r="AI345" s="184">
        <v>0</v>
      </c>
      <c r="AJ345" s="643">
        <v>0</v>
      </c>
    </row>
    <row r="346" spans="1:36" x14ac:dyDescent="0.2">
      <c r="A346" s="440" t="s">
        <v>54</v>
      </c>
      <c r="B346" s="642">
        <v>0</v>
      </c>
      <c r="C346" s="184">
        <v>0</v>
      </c>
      <c r="D346" s="184">
        <v>0</v>
      </c>
      <c r="E346" s="184">
        <v>0</v>
      </c>
      <c r="F346" s="184">
        <v>0</v>
      </c>
      <c r="G346" s="184">
        <v>0</v>
      </c>
      <c r="H346" s="184">
        <v>0</v>
      </c>
      <c r="I346" s="184">
        <v>0</v>
      </c>
      <c r="J346" s="184">
        <v>0</v>
      </c>
      <c r="K346" s="184">
        <v>0</v>
      </c>
      <c r="L346" s="184">
        <v>0</v>
      </c>
      <c r="M346" s="616" t="s">
        <v>24</v>
      </c>
      <c r="N346" s="588" t="s">
        <v>54</v>
      </c>
      <c r="O346" s="191">
        <v>0</v>
      </c>
      <c r="P346" s="184">
        <v>0</v>
      </c>
      <c r="Q346" s="184">
        <v>0</v>
      </c>
      <c r="R346" s="184">
        <v>0</v>
      </c>
      <c r="S346" s="184">
        <v>0</v>
      </c>
      <c r="T346" s="184">
        <v>0</v>
      </c>
      <c r="U346" s="184">
        <v>0</v>
      </c>
      <c r="V346" s="184">
        <v>0</v>
      </c>
      <c r="W346" s="184">
        <v>0</v>
      </c>
      <c r="X346" s="184">
        <v>0</v>
      </c>
      <c r="Y346" s="184">
        <v>0</v>
      </c>
      <c r="Z346" s="184">
        <v>0</v>
      </c>
      <c r="AA346" s="184">
        <v>0</v>
      </c>
      <c r="AB346" s="184">
        <v>0</v>
      </c>
      <c r="AC346" s="185" t="s">
        <v>24</v>
      </c>
      <c r="AD346" s="185" t="s">
        <v>24</v>
      </c>
      <c r="AE346" s="184">
        <v>0</v>
      </c>
      <c r="AF346" s="185">
        <v>0</v>
      </c>
      <c r="AG346" s="184">
        <v>0</v>
      </c>
      <c r="AH346" s="185">
        <v>0</v>
      </c>
      <c r="AI346" s="184">
        <v>0</v>
      </c>
      <c r="AJ346" s="643">
        <v>0</v>
      </c>
    </row>
    <row r="347" spans="1:36" x14ac:dyDescent="0.2">
      <c r="A347" s="440" t="s">
        <v>56</v>
      </c>
      <c r="B347" s="642">
        <v>0</v>
      </c>
      <c r="C347" s="184">
        <v>0</v>
      </c>
      <c r="D347" s="184">
        <v>0</v>
      </c>
      <c r="E347" s="184">
        <v>0</v>
      </c>
      <c r="F347" s="184">
        <v>0</v>
      </c>
      <c r="G347" s="184">
        <v>0</v>
      </c>
      <c r="H347" s="184">
        <v>0</v>
      </c>
      <c r="I347" s="184">
        <v>0</v>
      </c>
      <c r="J347" s="184">
        <v>0</v>
      </c>
      <c r="K347" s="184">
        <v>0</v>
      </c>
      <c r="L347" s="184">
        <v>0</v>
      </c>
      <c r="M347" s="616" t="s">
        <v>24</v>
      </c>
      <c r="N347" s="588" t="s">
        <v>56</v>
      </c>
      <c r="O347" s="191">
        <v>0</v>
      </c>
      <c r="P347" s="184">
        <v>0</v>
      </c>
      <c r="Q347" s="184">
        <v>0</v>
      </c>
      <c r="R347" s="184">
        <v>0</v>
      </c>
      <c r="S347" s="184">
        <v>0</v>
      </c>
      <c r="T347" s="184">
        <v>0</v>
      </c>
      <c r="U347" s="184">
        <v>0</v>
      </c>
      <c r="V347" s="184">
        <v>0</v>
      </c>
      <c r="W347" s="184">
        <v>0</v>
      </c>
      <c r="X347" s="184">
        <v>0</v>
      </c>
      <c r="Y347" s="184">
        <v>0</v>
      </c>
      <c r="Z347" s="184">
        <v>0</v>
      </c>
      <c r="AA347" s="184">
        <v>0</v>
      </c>
      <c r="AB347" s="184">
        <v>0</v>
      </c>
      <c r="AC347" s="185" t="s">
        <v>24</v>
      </c>
      <c r="AD347" s="185" t="s">
        <v>24</v>
      </c>
      <c r="AE347" s="184">
        <v>0</v>
      </c>
      <c r="AF347" s="185">
        <v>0</v>
      </c>
      <c r="AG347" s="184">
        <v>0</v>
      </c>
      <c r="AH347" s="185">
        <v>0</v>
      </c>
      <c r="AI347" s="184">
        <v>0</v>
      </c>
      <c r="AJ347" s="643">
        <v>0</v>
      </c>
    </row>
    <row r="348" spans="1:36" x14ac:dyDescent="0.2">
      <c r="A348" s="440" t="s">
        <v>43</v>
      </c>
      <c r="B348" s="642">
        <v>1</v>
      </c>
      <c r="C348" s="184">
        <v>0</v>
      </c>
      <c r="D348" s="184">
        <v>1</v>
      </c>
      <c r="E348" s="184">
        <v>0</v>
      </c>
      <c r="F348" s="184">
        <v>0</v>
      </c>
      <c r="G348" s="184">
        <v>0</v>
      </c>
      <c r="H348" s="184">
        <v>0</v>
      </c>
      <c r="I348" s="184">
        <v>0</v>
      </c>
      <c r="J348" s="184">
        <v>0</v>
      </c>
      <c r="K348" s="184">
        <v>0</v>
      </c>
      <c r="L348" s="184">
        <v>0</v>
      </c>
      <c r="M348" s="616" t="s">
        <v>24</v>
      </c>
      <c r="N348" s="588" t="s">
        <v>43</v>
      </c>
      <c r="O348" s="191">
        <v>0</v>
      </c>
      <c r="P348" s="184">
        <v>0</v>
      </c>
      <c r="Q348" s="184">
        <v>0</v>
      </c>
      <c r="R348" s="184">
        <v>0</v>
      </c>
      <c r="S348" s="184">
        <v>0</v>
      </c>
      <c r="T348" s="184">
        <v>0</v>
      </c>
      <c r="U348" s="184">
        <v>0</v>
      </c>
      <c r="V348" s="184">
        <v>0</v>
      </c>
      <c r="W348" s="184">
        <v>0</v>
      </c>
      <c r="X348" s="184">
        <v>1</v>
      </c>
      <c r="Y348" s="184">
        <v>0</v>
      </c>
      <c r="Z348" s="184">
        <v>0</v>
      </c>
      <c r="AA348" s="184">
        <v>0</v>
      </c>
      <c r="AB348" s="184">
        <v>0</v>
      </c>
      <c r="AC348" s="185">
        <v>58.1</v>
      </c>
      <c r="AD348" s="185" t="s">
        <v>24</v>
      </c>
      <c r="AE348" s="184">
        <v>0</v>
      </c>
      <c r="AF348" s="185">
        <v>0</v>
      </c>
      <c r="AG348" s="184">
        <v>0</v>
      </c>
      <c r="AH348" s="185">
        <v>0</v>
      </c>
      <c r="AI348" s="184">
        <v>0</v>
      </c>
      <c r="AJ348" s="643">
        <v>0</v>
      </c>
    </row>
    <row r="349" spans="1:36" x14ac:dyDescent="0.2">
      <c r="A349" s="440" t="s">
        <v>59</v>
      </c>
      <c r="B349" s="642">
        <v>0</v>
      </c>
      <c r="C349" s="184">
        <v>0</v>
      </c>
      <c r="D349" s="184">
        <v>0</v>
      </c>
      <c r="E349" s="184">
        <v>0</v>
      </c>
      <c r="F349" s="184">
        <v>0</v>
      </c>
      <c r="G349" s="184">
        <v>0</v>
      </c>
      <c r="H349" s="184">
        <v>0</v>
      </c>
      <c r="I349" s="184">
        <v>0</v>
      </c>
      <c r="J349" s="184">
        <v>0</v>
      </c>
      <c r="K349" s="184">
        <v>0</v>
      </c>
      <c r="L349" s="184">
        <v>0</v>
      </c>
      <c r="M349" s="616" t="s">
        <v>24</v>
      </c>
      <c r="N349" s="588" t="s">
        <v>59</v>
      </c>
      <c r="O349" s="191">
        <v>0</v>
      </c>
      <c r="P349" s="184">
        <v>0</v>
      </c>
      <c r="Q349" s="184">
        <v>0</v>
      </c>
      <c r="R349" s="184">
        <v>0</v>
      </c>
      <c r="S349" s="184">
        <v>0</v>
      </c>
      <c r="T349" s="184">
        <v>0</v>
      </c>
      <c r="U349" s="184">
        <v>0</v>
      </c>
      <c r="V349" s="184">
        <v>0</v>
      </c>
      <c r="W349" s="184">
        <v>0</v>
      </c>
      <c r="X349" s="184">
        <v>0</v>
      </c>
      <c r="Y349" s="184">
        <v>0</v>
      </c>
      <c r="Z349" s="184">
        <v>0</v>
      </c>
      <c r="AA349" s="184">
        <v>0</v>
      </c>
      <c r="AB349" s="184">
        <v>0</v>
      </c>
      <c r="AC349" s="185" t="s">
        <v>24</v>
      </c>
      <c r="AD349" s="185" t="s">
        <v>24</v>
      </c>
      <c r="AE349" s="184">
        <v>0</v>
      </c>
      <c r="AF349" s="185">
        <v>0</v>
      </c>
      <c r="AG349" s="184">
        <v>0</v>
      </c>
      <c r="AH349" s="185">
        <v>0</v>
      </c>
      <c r="AI349" s="184">
        <v>0</v>
      </c>
      <c r="AJ349" s="643">
        <v>0</v>
      </c>
    </row>
    <row r="350" spans="1:36" x14ac:dyDescent="0.2">
      <c r="A350" s="440" t="s">
        <v>61</v>
      </c>
      <c r="B350" s="642">
        <v>0</v>
      </c>
      <c r="C350" s="184">
        <v>0</v>
      </c>
      <c r="D350" s="184">
        <v>0</v>
      </c>
      <c r="E350" s="184">
        <v>0</v>
      </c>
      <c r="F350" s="184">
        <v>0</v>
      </c>
      <c r="G350" s="184">
        <v>0</v>
      </c>
      <c r="H350" s="184">
        <v>0</v>
      </c>
      <c r="I350" s="184">
        <v>0</v>
      </c>
      <c r="J350" s="184">
        <v>0</v>
      </c>
      <c r="K350" s="184">
        <v>0</v>
      </c>
      <c r="L350" s="184">
        <v>0</v>
      </c>
      <c r="M350" s="616" t="s">
        <v>24</v>
      </c>
      <c r="N350" s="588" t="s">
        <v>61</v>
      </c>
      <c r="O350" s="191">
        <v>0</v>
      </c>
      <c r="P350" s="184">
        <v>0</v>
      </c>
      <c r="Q350" s="184">
        <v>0</v>
      </c>
      <c r="R350" s="184">
        <v>0</v>
      </c>
      <c r="S350" s="184">
        <v>0</v>
      </c>
      <c r="T350" s="184">
        <v>0</v>
      </c>
      <c r="U350" s="184">
        <v>0</v>
      </c>
      <c r="V350" s="184">
        <v>0</v>
      </c>
      <c r="W350" s="184">
        <v>0</v>
      </c>
      <c r="X350" s="184">
        <v>0</v>
      </c>
      <c r="Y350" s="184">
        <v>0</v>
      </c>
      <c r="Z350" s="184">
        <v>0</v>
      </c>
      <c r="AA350" s="184">
        <v>0</v>
      </c>
      <c r="AB350" s="184">
        <v>0</v>
      </c>
      <c r="AC350" s="185" t="s">
        <v>24</v>
      </c>
      <c r="AD350" s="185" t="s">
        <v>24</v>
      </c>
      <c r="AE350" s="184">
        <v>0</v>
      </c>
      <c r="AF350" s="185">
        <v>0</v>
      </c>
      <c r="AG350" s="184">
        <v>0</v>
      </c>
      <c r="AH350" s="185">
        <v>0</v>
      </c>
      <c r="AI350" s="184">
        <v>0</v>
      </c>
      <c r="AJ350" s="643">
        <v>0</v>
      </c>
    </row>
    <row r="351" spans="1:36" x14ac:dyDescent="0.2">
      <c r="A351" s="440" t="s">
        <v>63</v>
      </c>
      <c r="B351" s="642">
        <v>3</v>
      </c>
      <c r="C351" s="184">
        <v>0</v>
      </c>
      <c r="D351" s="184">
        <v>1</v>
      </c>
      <c r="E351" s="184">
        <v>0</v>
      </c>
      <c r="F351" s="184">
        <v>2</v>
      </c>
      <c r="G351" s="184">
        <v>0</v>
      </c>
      <c r="H351" s="184">
        <v>0</v>
      </c>
      <c r="I351" s="184">
        <v>0</v>
      </c>
      <c r="J351" s="184">
        <v>0</v>
      </c>
      <c r="K351" s="184">
        <v>0</v>
      </c>
      <c r="L351" s="184">
        <v>0</v>
      </c>
      <c r="M351" s="616" t="s">
        <v>24</v>
      </c>
      <c r="N351" s="588" t="s">
        <v>63</v>
      </c>
      <c r="O351" s="191">
        <v>0</v>
      </c>
      <c r="P351" s="184">
        <v>0</v>
      </c>
      <c r="Q351" s="184">
        <v>0</v>
      </c>
      <c r="R351" s="184">
        <v>0</v>
      </c>
      <c r="S351" s="184">
        <v>0</v>
      </c>
      <c r="T351" s="184">
        <v>0</v>
      </c>
      <c r="U351" s="184">
        <v>1</v>
      </c>
      <c r="V351" s="184">
        <v>2</v>
      </c>
      <c r="W351" s="184">
        <v>0</v>
      </c>
      <c r="X351" s="184">
        <v>0</v>
      </c>
      <c r="Y351" s="184">
        <v>0</v>
      </c>
      <c r="Z351" s="184">
        <v>0</v>
      </c>
      <c r="AA351" s="184">
        <v>0</v>
      </c>
      <c r="AB351" s="184">
        <v>0</v>
      </c>
      <c r="AC351" s="185">
        <v>40.799999999999997</v>
      </c>
      <c r="AD351" s="185" t="s">
        <v>24</v>
      </c>
      <c r="AE351" s="184">
        <v>0</v>
      </c>
      <c r="AF351" s="185">
        <v>0</v>
      </c>
      <c r="AG351" s="184">
        <v>0</v>
      </c>
      <c r="AH351" s="185">
        <v>0</v>
      </c>
      <c r="AI351" s="184">
        <v>0</v>
      </c>
      <c r="AJ351" s="643">
        <v>0</v>
      </c>
    </row>
    <row r="352" spans="1:36" x14ac:dyDescent="0.2">
      <c r="A352" s="440" t="s">
        <v>44</v>
      </c>
      <c r="B352" s="642">
        <v>0</v>
      </c>
      <c r="C352" s="184">
        <v>0</v>
      </c>
      <c r="D352" s="184">
        <v>0</v>
      </c>
      <c r="E352" s="184">
        <v>0</v>
      </c>
      <c r="F352" s="184">
        <v>0</v>
      </c>
      <c r="G352" s="184">
        <v>0</v>
      </c>
      <c r="H352" s="184">
        <v>0</v>
      </c>
      <c r="I352" s="184">
        <v>0</v>
      </c>
      <c r="J352" s="184">
        <v>0</v>
      </c>
      <c r="K352" s="184">
        <v>0</v>
      </c>
      <c r="L352" s="184">
        <v>0</v>
      </c>
      <c r="M352" s="616" t="s">
        <v>24</v>
      </c>
      <c r="N352" s="588" t="s">
        <v>44</v>
      </c>
      <c r="O352" s="191">
        <v>0</v>
      </c>
      <c r="P352" s="184">
        <v>0</v>
      </c>
      <c r="Q352" s="184">
        <v>0</v>
      </c>
      <c r="R352" s="184">
        <v>0</v>
      </c>
      <c r="S352" s="184">
        <v>0</v>
      </c>
      <c r="T352" s="184">
        <v>0</v>
      </c>
      <c r="U352" s="184">
        <v>0</v>
      </c>
      <c r="V352" s="184">
        <v>0</v>
      </c>
      <c r="W352" s="184">
        <v>0</v>
      </c>
      <c r="X352" s="184">
        <v>0</v>
      </c>
      <c r="Y352" s="184">
        <v>0</v>
      </c>
      <c r="Z352" s="184">
        <v>0</v>
      </c>
      <c r="AA352" s="184">
        <v>0</v>
      </c>
      <c r="AB352" s="184">
        <v>0</v>
      </c>
      <c r="AC352" s="185" t="s">
        <v>24</v>
      </c>
      <c r="AD352" s="185" t="s">
        <v>24</v>
      </c>
      <c r="AE352" s="184">
        <v>0</v>
      </c>
      <c r="AF352" s="185">
        <v>0</v>
      </c>
      <c r="AG352" s="184">
        <v>0</v>
      </c>
      <c r="AH352" s="185">
        <v>0</v>
      </c>
      <c r="AI352" s="184">
        <v>0</v>
      </c>
      <c r="AJ352" s="643">
        <v>0</v>
      </c>
    </row>
    <row r="353" spans="1:36" x14ac:dyDescent="0.2">
      <c r="A353" s="440" t="s">
        <v>66</v>
      </c>
      <c r="B353" s="642">
        <v>0</v>
      </c>
      <c r="C353" s="184">
        <v>0</v>
      </c>
      <c r="D353" s="184">
        <v>0</v>
      </c>
      <c r="E353" s="184">
        <v>0</v>
      </c>
      <c r="F353" s="184">
        <v>0</v>
      </c>
      <c r="G353" s="184">
        <v>0</v>
      </c>
      <c r="H353" s="184">
        <v>0</v>
      </c>
      <c r="I353" s="184">
        <v>0</v>
      </c>
      <c r="J353" s="184">
        <v>0</v>
      </c>
      <c r="K353" s="184">
        <v>0</v>
      </c>
      <c r="L353" s="184">
        <v>0</v>
      </c>
      <c r="M353" s="616" t="s">
        <v>24</v>
      </c>
      <c r="N353" s="588" t="s">
        <v>66</v>
      </c>
      <c r="O353" s="191">
        <v>0</v>
      </c>
      <c r="P353" s="184">
        <v>0</v>
      </c>
      <c r="Q353" s="184">
        <v>0</v>
      </c>
      <c r="R353" s="184">
        <v>0</v>
      </c>
      <c r="S353" s="184">
        <v>0</v>
      </c>
      <c r="T353" s="184">
        <v>0</v>
      </c>
      <c r="U353" s="184">
        <v>0</v>
      </c>
      <c r="V353" s="184">
        <v>0</v>
      </c>
      <c r="W353" s="184">
        <v>0</v>
      </c>
      <c r="X353" s="184">
        <v>0</v>
      </c>
      <c r="Y353" s="184">
        <v>0</v>
      </c>
      <c r="Z353" s="184">
        <v>0</v>
      </c>
      <c r="AA353" s="184">
        <v>0</v>
      </c>
      <c r="AB353" s="184">
        <v>0</v>
      </c>
      <c r="AC353" s="185" t="s">
        <v>24</v>
      </c>
      <c r="AD353" s="185" t="s">
        <v>24</v>
      </c>
      <c r="AE353" s="184">
        <v>0</v>
      </c>
      <c r="AF353" s="185">
        <v>0</v>
      </c>
      <c r="AG353" s="184">
        <v>0</v>
      </c>
      <c r="AH353" s="185">
        <v>0</v>
      </c>
      <c r="AI353" s="184">
        <v>0</v>
      </c>
      <c r="AJ353" s="643">
        <v>0</v>
      </c>
    </row>
    <row r="354" spans="1:36" x14ac:dyDescent="0.2">
      <c r="A354" s="440" t="s">
        <v>68</v>
      </c>
      <c r="B354" s="642">
        <v>1</v>
      </c>
      <c r="C354" s="184">
        <v>0</v>
      </c>
      <c r="D354" s="184">
        <v>0</v>
      </c>
      <c r="E354" s="184">
        <v>0</v>
      </c>
      <c r="F354" s="184">
        <v>1</v>
      </c>
      <c r="G354" s="184">
        <v>0</v>
      </c>
      <c r="H354" s="184">
        <v>0</v>
      </c>
      <c r="I354" s="184">
        <v>0</v>
      </c>
      <c r="J354" s="184">
        <v>0</v>
      </c>
      <c r="K354" s="184">
        <v>0</v>
      </c>
      <c r="L354" s="184">
        <v>0</v>
      </c>
      <c r="M354" s="616" t="s">
        <v>24</v>
      </c>
      <c r="N354" s="588" t="s">
        <v>68</v>
      </c>
      <c r="O354" s="191">
        <v>0</v>
      </c>
      <c r="P354" s="184">
        <v>0</v>
      </c>
      <c r="Q354" s="184">
        <v>0</v>
      </c>
      <c r="R354" s="184">
        <v>0</v>
      </c>
      <c r="S354" s="184">
        <v>0</v>
      </c>
      <c r="T354" s="184">
        <v>0</v>
      </c>
      <c r="U354" s="184">
        <v>0</v>
      </c>
      <c r="V354" s="184">
        <v>1</v>
      </c>
      <c r="W354" s="184">
        <v>0</v>
      </c>
      <c r="X354" s="184">
        <v>0</v>
      </c>
      <c r="Y354" s="184">
        <v>0</v>
      </c>
      <c r="Z354" s="184">
        <v>0</v>
      </c>
      <c r="AA354" s="184">
        <v>0</v>
      </c>
      <c r="AB354" s="184">
        <v>0</v>
      </c>
      <c r="AC354" s="185">
        <v>40.200000000000003</v>
      </c>
      <c r="AD354" s="185" t="s">
        <v>24</v>
      </c>
      <c r="AE354" s="184">
        <v>0</v>
      </c>
      <c r="AF354" s="185">
        <v>0</v>
      </c>
      <c r="AG354" s="184">
        <v>0</v>
      </c>
      <c r="AH354" s="185">
        <v>0</v>
      </c>
      <c r="AI354" s="184">
        <v>0</v>
      </c>
      <c r="AJ354" s="643">
        <v>0</v>
      </c>
    </row>
    <row r="355" spans="1:36" x14ac:dyDescent="0.2">
      <c r="A355" s="440" t="s">
        <v>70</v>
      </c>
      <c r="B355" s="642">
        <v>1</v>
      </c>
      <c r="C355" s="184">
        <v>0</v>
      </c>
      <c r="D355" s="184">
        <v>1</v>
      </c>
      <c r="E355" s="184">
        <v>0</v>
      </c>
      <c r="F355" s="184">
        <v>0</v>
      </c>
      <c r="G355" s="184">
        <v>0</v>
      </c>
      <c r="H355" s="184">
        <v>0</v>
      </c>
      <c r="I355" s="184">
        <v>0</v>
      </c>
      <c r="J355" s="184">
        <v>0</v>
      </c>
      <c r="K355" s="184">
        <v>0</v>
      </c>
      <c r="L355" s="184">
        <v>0</v>
      </c>
      <c r="M355" s="616" t="s">
        <v>24</v>
      </c>
      <c r="N355" s="588" t="s">
        <v>70</v>
      </c>
      <c r="O355" s="191">
        <v>0</v>
      </c>
      <c r="P355" s="184">
        <v>0</v>
      </c>
      <c r="Q355" s="184">
        <v>0</v>
      </c>
      <c r="R355" s="184">
        <v>0</v>
      </c>
      <c r="S355" s="184">
        <v>0</v>
      </c>
      <c r="T355" s="184">
        <v>0</v>
      </c>
      <c r="U355" s="184">
        <v>0</v>
      </c>
      <c r="V355" s="184">
        <v>0</v>
      </c>
      <c r="W355" s="184">
        <v>0</v>
      </c>
      <c r="X355" s="184">
        <v>1</v>
      </c>
      <c r="Y355" s="184">
        <v>0</v>
      </c>
      <c r="Z355" s="184">
        <v>0</v>
      </c>
      <c r="AA355" s="184">
        <v>0</v>
      </c>
      <c r="AB355" s="184">
        <v>0</v>
      </c>
      <c r="AC355" s="185">
        <v>58.2</v>
      </c>
      <c r="AD355" s="185" t="s">
        <v>24</v>
      </c>
      <c r="AE355" s="184">
        <v>0</v>
      </c>
      <c r="AF355" s="185">
        <v>0</v>
      </c>
      <c r="AG355" s="184">
        <v>0</v>
      </c>
      <c r="AH355" s="185">
        <v>0</v>
      </c>
      <c r="AI355" s="184">
        <v>0</v>
      </c>
      <c r="AJ355" s="643">
        <v>0</v>
      </c>
    </row>
    <row r="356" spans="1:36" x14ac:dyDescent="0.2">
      <c r="A356" s="440" t="s">
        <v>46</v>
      </c>
      <c r="B356" s="642">
        <v>2</v>
      </c>
      <c r="C356" s="184">
        <v>0</v>
      </c>
      <c r="D356" s="184">
        <v>2</v>
      </c>
      <c r="E356" s="184">
        <v>0</v>
      </c>
      <c r="F356" s="184">
        <v>0</v>
      </c>
      <c r="G356" s="184">
        <v>0</v>
      </c>
      <c r="H356" s="184">
        <v>0</v>
      </c>
      <c r="I356" s="184">
        <v>0</v>
      </c>
      <c r="J356" s="184">
        <v>0</v>
      </c>
      <c r="K356" s="184">
        <v>0</v>
      </c>
      <c r="L356" s="184">
        <v>0</v>
      </c>
      <c r="M356" s="616" t="s">
        <v>24</v>
      </c>
      <c r="N356" s="588" t="s">
        <v>46</v>
      </c>
      <c r="O356" s="191">
        <v>0</v>
      </c>
      <c r="P356" s="184">
        <v>0</v>
      </c>
      <c r="Q356" s="184">
        <v>0</v>
      </c>
      <c r="R356" s="184">
        <v>0</v>
      </c>
      <c r="S356" s="184">
        <v>0</v>
      </c>
      <c r="T356" s="184">
        <v>0</v>
      </c>
      <c r="U356" s="184">
        <v>0</v>
      </c>
      <c r="V356" s="184">
        <v>0</v>
      </c>
      <c r="W356" s="184">
        <v>1</v>
      </c>
      <c r="X356" s="184">
        <v>1</v>
      </c>
      <c r="Y356" s="184">
        <v>0</v>
      </c>
      <c r="Z356" s="184">
        <v>0</v>
      </c>
      <c r="AA356" s="184">
        <v>0</v>
      </c>
      <c r="AB356" s="184">
        <v>0</v>
      </c>
      <c r="AC356" s="185">
        <v>48.8</v>
      </c>
      <c r="AD356" s="185" t="s">
        <v>24</v>
      </c>
      <c r="AE356" s="184">
        <v>0</v>
      </c>
      <c r="AF356" s="185">
        <v>0</v>
      </c>
      <c r="AG356" s="184">
        <v>0</v>
      </c>
      <c r="AH356" s="185">
        <v>0</v>
      </c>
      <c r="AI356" s="184">
        <v>0</v>
      </c>
      <c r="AJ356" s="643">
        <v>0</v>
      </c>
    </row>
    <row r="357" spans="1:36" x14ac:dyDescent="0.2">
      <c r="A357" s="440" t="s">
        <v>73</v>
      </c>
      <c r="B357" s="642">
        <v>3</v>
      </c>
      <c r="C357" s="184">
        <v>0</v>
      </c>
      <c r="D357" s="184">
        <v>3</v>
      </c>
      <c r="E357" s="184">
        <v>0</v>
      </c>
      <c r="F357" s="184">
        <v>0</v>
      </c>
      <c r="G357" s="184">
        <v>0</v>
      </c>
      <c r="H357" s="184">
        <v>0</v>
      </c>
      <c r="I357" s="184">
        <v>0</v>
      </c>
      <c r="J357" s="184">
        <v>0</v>
      </c>
      <c r="K357" s="184">
        <v>0</v>
      </c>
      <c r="L357" s="184">
        <v>0</v>
      </c>
      <c r="M357" s="616" t="s">
        <v>24</v>
      </c>
      <c r="N357" s="588" t="s">
        <v>73</v>
      </c>
      <c r="O357" s="191">
        <v>0</v>
      </c>
      <c r="P357" s="184">
        <v>0</v>
      </c>
      <c r="Q357" s="184">
        <v>0</v>
      </c>
      <c r="R357" s="184">
        <v>0</v>
      </c>
      <c r="S357" s="184">
        <v>0</v>
      </c>
      <c r="T357" s="184">
        <v>0</v>
      </c>
      <c r="U357" s="184">
        <v>1</v>
      </c>
      <c r="V357" s="184">
        <v>2</v>
      </c>
      <c r="W357" s="184">
        <v>0</v>
      </c>
      <c r="X357" s="184">
        <v>0</v>
      </c>
      <c r="Y357" s="184">
        <v>0</v>
      </c>
      <c r="Z357" s="184">
        <v>0</v>
      </c>
      <c r="AA357" s="184">
        <v>0</v>
      </c>
      <c r="AB357" s="184">
        <v>0</v>
      </c>
      <c r="AC357" s="185">
        <v>41.9</v>
      </c>
      <c r="AD357" s="185" t="s">
        <v>24</v>
      </c>
      <c r="AE357" s="184">
        <v>0</v>
      </c>
      <c r="AF357" s="185">
        <v>0</v>
      </c>
      <c r="AG357" s="184">
        <v>0</v>
      </c>
      <c r="AH357" s="185">
        <v>0</v>
      </c>
      <c r="AI357" s="184">
        <v>0</v>
      </c>
      <c r="AJ357" s="643">
        <v>0</v>
      </c>
    </row>
    <row r="358" spans="1:36" x14ac:dyDescent="0.2">
      <c r="A358" s="440" t="s">
        <v>75</v>
      </c>
      <c r="B358" s="642">
        <v>4</v>
      </c>
      <c r="C358" s="184">
        <v>0</v>
      </c>
      <c r="D358" s="184">
        <v>4</v>
      </c>
      <c r="E358" s="184">
        <v>0</v>
      </c>
      <c r="F358" s="184">
        <v>0</v>
      </c>
      <c r="G358" s="184">
        <v>0</v>
      </c>
      <c r="H358" s="184">
        <v>0</v>
      </c>
      <c r="I358" s="184">
        <v>0</v>
      </c>
      <c r="J358" s="184">
        <v>0</v>
      </c>
      <c r="K358" s="184">
        <v>0</v>
      </c>
      <c r="L358" s="184">
        <v>0</v>
      </c>
      <c r="M358" s="616" t="s">
        <v>24</v>
      </c>
      <c r="N358" s="588" t="s">
        <v>75</v>
      </c>
      <c r="O358" s="191">
        <v>0</v>
      </c>
      <c r="P358" s="184">
        <v>0</v>
      </c>
      <c r="Q358" s="184">
        <v>0</v>
      </c>
      <c r="R358" s="184">
        <v>0</v>
      </c>
      <c r="S358" s="184">
        <v>0</v>
      </c>
      <c r="T358" s="184">
        <v>0</v>
      </c>
      <c r="U358" s="184">
        <v>2</v>
      </c>
      <c r="V358" s="184">
        <v>0</v>
      </c>
      <c r="W358" s="184">
        <v>2</v>
      </c>
      <c r="X358" s="184">
        <v>0</v>
      </c>
      <c r="Y358" s="184">
        <v>0</v>
      </c>
      <c r="Z358" s="184">
        <v>0</v>
      </c>
      <c r="AA358" s="184">
        <v>0</v>
      </c>
      <c r="AB358" s="184">
        <v>0</v>
      </c>
      <c r="AC358" s="185">
        <v>43.2</v>
      </c>
      <c r="AD358" s="185" t="s">
        <v>24</v>
      </c>
      <c r="AE358" s="184">
        <v>0</v>
      </c>
      <c r="AF358" s="185">
        <v>0</v>
      </c>
      <c r="AG358" s="184">
        <v>0</v>
      </c>
      <c r="AH358" s="185">
        <v>0</v>
      </c>
      <c r="AI358" s="184">
        <v>0</v>
      </c>
      <c r="AJ358" s="643">
        <v>0</v>
      </c>
    </row>
    <row r="359" spans="1:36" ht="13.5" thickBot="1" x14ac:dyDescent="0.25">
      <c r="A359" s="440" t="s">
        <v>77</v>
      </c>
      <c r="B359" s="644">
        <v>3</v>
      </c>
      <c r="C359" s="188">
        <v>0</v>
      </c>
      <c r="D359" s="188">
        <v>2</v>
      </c>
      <c r="E359" s="188">
        <v>0</v>
      </c>
      <c r="F359" s="188">
        <v>1</v>
      </c>
      <c r="G359" s="188">
        <v>0</v>
      </c>
      <c r="H359" s="188">
        <v>0</v>
      </c>
      <c r="I359" s="188">
        <v>0</v>
      </c>
      <c r="J359" s="188">
        <v>0</v>
      </c>
      <c r="K359" s="188">
        <v>0</v>
      </c>
      <c r="L359" s="188">
        <v>0</v>
      </c>
      <c r="M359" s="617" t="s">
        <v>24</v>
      </c>
      <c r="N359" s="588" t="s">
        <v>77</v>
      </c>
      <c r="O359" s="619">
        <v>0</v>
      </c>
      <c r="P359" s="188">
        <v>0</v>
      </c>
      <c r="Q359" s="188">
        <v>0</v>
      </c>
      <c r="R359" s="188">
        <v>0</v>
      </c>
      <c r="S359" s="188">
        <v>0</v>
      </c>
      <c r="T359" s="188">
        <v>0</v>
      </c>
      <c r="U359" s="188">
        <v>0</v>
      </c>
      <c r="V359" s="188">
        <v>2</v>
      </c>
      <c r="W359" s="188">
        <v>0</v>
      </c>
      <c r="X359" s="188">
        <v>0</v>
      </c>
      <c r="Y359" s="188">
        <v>1</v>
      </c>
      <c r="Z359" s="188">
        <v>0</v>
      </c>
      <c r="AA359" s="188">
        <v>0</v>
      </c>
      <c r="AB359" s="188">
        <v>0</v>
      </c>
      <c r="AC359" s="189">
        <v>50.7</v>
      </c>
      <c r="AD359" s="189" t="s">
        <v>24</v>
      </c>
      <c r="AE359" s="188">
        <v>1</v>
      </c>
      <c r="AF359" s="189">
        <v>33.333333333333329</v>
      </c>
      <c r="AG359" s="188">
        <v>0</v>
      </c>
      <c r="AH359" s="189">
        <v>0</v>
      </c>
      <c r="AI359" s="188">
        <v>0</v>
      </c>
      <c r="AJ359" s="645">
        <v>0</v>
      </c>
    </row>
    <row r="360" spans="1:36" x14ac:dyDescent="0.2">
      <c r="A360" s="440" t="s">
        <v>48</v>
      </c>
      <c r="B360" s="642">
        <v>0</v>
      </c>
      <c r="C360" s="184">
        <v>0</v>
      </c>
      <c r="D360" s="184">
        <v>0</v>
      </c>
      <c r="E360" s="184">
        <v>0</v>
      </c>
      <c r="F360" s="184">
        <v>0</v>
      </c>
      <c r="G360" s="184">
        <v>0</v>
      </c>
      <c r="H360" s="184">
        <v>0</v>
      </c>
      <c r="I360" s="184">
        <v>0</v>
      </c>
      <c r="J360" s="184">
        <v>0</v>
      </c>
      <c r="K360" s="184">
        <v>0</v>
      </c>
      <c r="L360" s="184">
        <v>0</v>
      </c>
      <c r="M360" s="616" t="s">
        <v>24</v>
      </c>
      <c r="N360" s="588" t="s">
        <v>48</v>
      </c>
      <c r="O360" s="191">
        <v>0</v>
      </c>
      <c r="P360" s="184">
        <v>0</v>
      </c>
      <c r="Q360" s="184">
        <v>0</v>
      </c>
      <c r="R360" s="184">
        <v>0</v>
      </c>
      <c r="S360" s="184">
        <v>0</v>
      </c>
      <c r="T360" s="184">
        <v>0</v>
      </c>
      <c r="U360" s="184">
        <v>0</v>
      </c>
      <c r="V360" s="184">
        <v>0</v>
      </c>
      <c r="W360" s="184">
        <v>0</v>
      </c>
      <c r="X360" s="184">
        <v>0</v>
      </c>
      <c r="Y360" s="184">
        <v>0</v>
      </c>
      <c r="Z360" s="184">
        <v>0</v>
      </c>
      <c r="AA360" s="184">
        <v>0</v>
      </c>
      <c r="AB360" s="184">
        <v>0</v>
      </c>
      <c r="AC360" s="185" t="s">
        <v>24</v>
      </c>
      <c r="AD360" s="185" t="s">
        <v>24</v>
      </c>
      <c r="AE360" s="184">
        <v>0</v>
      </c>
      <c r="AF360" s="185">
        <v>0</v>
      </c>
      <c r="AG360" s="184">
        <v>0</v>
      </c>
      <c r="AH360" s="185">
        <v>0</v>
      </c>
      <c r="AI360" s="184">
        <v>0</v>
      </c>
      <c r="AJ360" s="643">
        <v>0</v>
      </c>
    </row>
    <row r="361" spans="1:36" x14ac:dyDescent="0.2">
      <c r="A361" s="440" t="s">
        <v>79</v>
      </c>
      <c r="B361" s="642">
        <v>3</v>
      </c>
      <c r="C361" s="184">
        <v>0</v>
      </c>
      <c r="D361" s="184">
        <v>3</v>
      </c>
      <c r="E361" s="184">
        <v>0</v>
      </c>
      <c r="F361" s="184">
        <v>0</v>
      </c>
      <c r="G361" s="184">
        <v>0</v>
      </c>
      <c r="H361" s="184">
        <v>0</v>
      </c>
      <c r="I361" s="184">
        <v>0</v>
      </c>
      <c r="J361" s="184">
        <v>0</v>
      </c>
      <c r="K361" s="184">
        <v>0</v>
      </c>
      <c r="L361" s="184">
        <v>0</v>
      </c>
      <c r="M361" s="616" t="s">
        <v>24</v>
      </c>
      <c r="N361" s="588" t="s">
        <v>79</v>
      </c>
      <c r="O361" s="191">
        <v>0</v>
      </c>
      <c r="P361" s="184">
        <v>0</v>
      </c>
      <c r="Q361" s="184">
        <v>0</v>
      </c>
      <c r="R361" s="184">
        <v>0</v>
      </c>
      <c r="S361" s="184">
        <v>0</v>
      </c>
      <c r="T361" s="184">
        <v>1</v>
      </c>
      <c r="U361" s="184">
        <v>0</v>
      </c>
      <c r="V361" s="184">
        <v>0</v>
      </c>
      <c r="W361" s="184">
        <v>2</v>
      </c>
      <c r="X361" s="184">
        <v>0</v>
      </c>
      <c r="Y361" s="184">
        <v>0</v>
      </c>
      <c r="Z361" s="184">
        <v>0</v>
      </c>
      <c r="AA361" s="184">
        <v>0</v>
      </c>
      <c r="AB361" s="184">
        <v>0</v>
      </c>
      <c r="AC361" s="185">
        <v>42.2</v>
      </c>
      <c r="AD361" s="185" t="s">
        <v>24</v>
      </c>
      <c r="AE361" s="184">
        <v>0</v>
      </c>
      <c r="AF361" s="185">
        <v>0</v>
      </c>
      <c r="AG361" s="184">
        <v>0</v>
      </c>
      <c r="AH361" s="185">
        <v>0</v>
      </c>
      <c r="AI361" s="184">
        <v>0</v>
      </c>
      <c r="AJ361" s="643">
        <v>0</v>
      </c>
    </row>
    <row r="362" spans="1:36" x14ac:dyDescent="0.2">
      <c r="A362" s="440" t="s">
        <v>80</v>
      </c>
      <c r="B362" s="642">
        <v>10</v>
      </c>
      <c r="C362" s="184">
        <v>0</v>
      </c>
      <c r="D362" s="184">
        <v>10</v>
      </c>
      <c r="E362" s="184">
        <v>0</v>
      </c>
      <c r="F362" s="184">
        <v>0</v>
      </c>
      <c r="G362" s="184">
        <v>0</v>
      </c>
      <c r="H362" s="184">
        <v>0</v>
      </c>
      <c r="I362" s="184">
        <v>0</v>
      </c>
      <c r="J362" s="184">
        <v>0</v>
      </c>
      <c r="K362" s="184">
        <v>0</v>
      </c>
      <c r="L362" s="184">
        <v>0</v>
      </c>
      <c r="M362" s="616" t="s">
        <v>24</v>
      </c>
      <c r="N362" s="588" t="s">
        <v>80</v>
      </c>
      <c r="O362" s="191">
        <v>0</v>
      </c>
      <c r="P362" s="184">
        <v>0</v>
      </c>
      <c r="Q362" s="184">
        <v>0</v>
      </c>
      <c r="R362" s="184">
        <v>0</v>
      </c>
      <c r="S362" s="184">
        <v>0</v>
      </c>
      <c r="T362" s="184">
        <v>3</v>
      </c>
      <c r="U362" s="184">
        <v>2</v>
      </c>
      <c r="V362" s="184">
        <v>2</v>
      </c>
      <c r="W362" s="184">
        <v>3</v>
      </c>
      <c r="X362" s="184">
        <v>0</v>
      </c>
      <c r="Y362" s="184">
        <v>0</v>
      </c>
      <c r="Z362" s="184">
        <v>0</v>
      </c>
      <c r="AA362" s="184">
        <v>0</v>
      </c>
      <c r="AB362" s="184">
        <v>0</v>
      </c>
      <c r="AC362" s="185">
        <v>40.9</v>
      </c>
      <c r="AD362" s="185" t="s">
        <v>24</v>
      </c>
      <c r="AE362" s="184">
        <v>0</v>
      </c>
      <c r="AF362" s="185">
        <v>0</v>
      </c>
      <c r="AG362" s="184">
        <v>0</v>
      </c>
      <c r="AH362" s="185">
        <v>0</v>
      </c>
      <c r="AI362" s="184">
        <v>0</v>
      </c>
      <c r="AJ362" s="643">
        <v>0</v>
      </c>
    </row>
    <row r="363" spans="1:36" ht="13.5" thickBot="1" x14ac:dyDescent="0.25">
      <c r="A363" s="440" t="s">
        <v>81</v>
      </c>
      <c r="B363" s="644">
        <v>15</v>
      </c>
      <c r="C363" s="188">
        <v>1</v>
      </c>
      <c r="D363" s="188">
        <v>13</v>
      </c>
      <c r="E363" s="188">
        <v>0</v>
      </c>
      <c r="F363" s="188">
        <v>1</v>
      </c>
      <c r="G363" s="188">
        <v>0</v>
      </c>
      <c r="H363" s="188">
        <v>0</v>
      </c>
      <c r="I363" s="188">
        <v>0</v>
      </c>
      <c r="J363" s="188">
        <v>0</v>
      </c>
      <c r="K363" s="188">
        <v>0</v>
      </c>
      <c r="L363" s="188">
        <v>0</v>
      </c>
      <c r="M363" s="617" t="s">
        <v>24</v>
      </c>
      <c r="N363" s="588" t="s">
        <v>81</v>
      </c>
      <c r="O363" s="619">
        <v>0</v>
      </c>
      <c r="P363" s="188">
        <v>0</v>
      </c>
      <c r="Q363" s="188">
        <v>0</v>
      </c>
      <c r="R363" s="188">
        <v>0</v>
      </c>
      <c r="S363" s="188">
        <v>0</v>
      </c>
      <c r="T363" s="188">
        <v>0</v>
      </c>
      <c r="U363" s="188">
        <v>3</v>
      </c>
      <c r="V363" s="188">
        <v>6</v>
      </c>
      <c r="W363" s="188">
        <v>4</v>
      </c>
      <c r="X363" s="188">
        <v>1</v>
      </c>
      <c r="Y363" s="188">
        <v>1</v>
      </c>
      <c r="Z363" s="188">
        <v>0</v>
      </c>
      <c r="AA363" s="188">
        <v>0</v>
      </c>
      <c r="AB363" s="188">
        <v>0</v>
      </c>
      <c r="AC363" s="189">
        <v>45.2</v>
      </c>
      <c r="AD363" s="189">
        <v>52</v>
      </c>
      <c r="AE363" s="188">
        <v>1</v>
      </c>
      <c r="AF363" s="189">
        <v>6.666666666666667</v>
      </c>
      <c r="AG363" s="188">
        <v>0</v>
      </c>
      <c r="AH363" s="189">
        <v>0</v>
      </c>
      <c r="AI363" s="188">
        <v>0</v>
      </c>
      <c r="AJ363" s="645">
        <v>0</v>
      </c>
    </row>
    <row r="364" spans="1:36" x14ac:dyDescent="0.2">
      <c r="A364" s="440" t="s">
        <v>50</v>
      </c>
      <c r="B364" s="646">
        <v>10</v>
      </c>
      <c r="C364" s="186">
        <v>0</v>
      </c>
      <c r="D364" s="186">
        <v>8</v>
      </c>
      <c r="E364" s="186">
        <v>1</v>
      </c>
      <c r="F364" s="186">
        <v>0</v>
      </c>
      <c r="G364" s="186">
        <v>0</v>
      </c>
      <c r="H364" s="186">
        <v>0</v>
      </c>
      <c r="I364" s="186">
        <v>0</v>
      </c>
      <c r="J364" s="186">
        <v>1</v>
      </c>
      <c r="K364" s="186">
        <v>0</v>
      </c>
      <c r="L364" s="186">
        <v>0</v>
      </c>
      <c r="M364" s="618" t="s">
        <v>24</v>
      </c>
      <c r="N364" s="588" t="s">
        <v>50</v>
      </c>
      <c r="O364" s="567">
        <v>0</v>
      </c>
      <c r="P364" s="186">
        <v>0</v>
      </c>
      <c r="Q364" s="186">
        <v>0</v>
      </c>
      <c r="R364" s="186">
        <v>0</v>
      </c>
      <c r="S364" s="186">
        <v>0</v>
      </c>
      <c r="T364" s="186">
        <v>1</v>
      </c>
      <c r="U364" s="186">
        <v>2</v>
      </c>
      <c r="V364" s="186">
        <v>3</v>
      </c>
      <c r="W364" s="186">
        <v>2</v>
      </c>
      <c r="X364" s="186">
        <v>1</v>
      </c>
      <c r="Y364" s="186">
        <v>1</v>
      </c>
      <c r="Z364" s="186">
        <v>0</v>
      </c>
      <c r="AA364" s="186">
        <v>0</v>
      </c>
      <c r="AB364" s="186">
        <v>0</v>
      </c>
      <c r="AC364" s="187">
        <v>45.7</v>
      </c>
      <c r="AD364" s="187" t="s">
        <v>24</v>
      </c>
      <c r="AE364" s="186">
        <v>1</v>
      </c>
      <c r="AF364" s="187">
        <v>10</v>
      </c>
      <c r="AG364" s="186">
        <v>0</v>
      </c>
      <c r="AH364" s="187">
        <v>0</v>
      </c>
      <c r="AI364" s="186">
        <v>0</v>
      </c>
      <c r="AJ364" s="647">
        <v>0</v>
      </c>
    </row>
    <row r="365" spans="1:36" x14ac:dyDescent="0.2">
      <c r="A365" s="440" t="s">
        <v>82</v>
      </c>
      <c r="B365" s="642">
        <v>23</v>
      </c>
      <c r="C365" s="184">
        <v>0</v>
      </c>
      <c r="D365" s="184">
        <v>20</v>
      </c>
      <c r="E365" s="184">
        <v>0</v>
      </c>
      <c r="F365" s="184">
        <v>3</v>
      </c>
      <c r="G365" s="184">
        <v>0</v>
      </c>
      <c r="H365" s="184">
        <v>0</v>
      </c>
      <c r="I365" s="184">
        <v>0</v>
      </c>
      <c r="J365" s="184">
        <v>0</v>
      </c>
      <c r="K365" s="184">
        <v>0</v>
      </c>
      <c r="L365" s="184">
        <v>0</v>
      </c>
      <c r="M365" s="616" t="s">
        <v>24</v>
      </c>
      <c r="N365" s="588" t="s">
        <v>82</v>
      </c>
      <c r="O365" s="191">
        <v>0</v>
      </c>
      <c r="P365" s="184">
        <v>0</v>
      </c>
      <c r="Q365" s="184">
        <v>0</v>
      </c>
      <c r="R365" s="184">
        <v>0</v>
      </c>
      <c r="S365" s="184">
        <v>0</v>
      </c>
      <c r="T365" s="184">
        <v>0</v>
      </c>
      <c r="U365" s="184">
        <v>11</v>
      </c>
      <c r="V365" s="184">
        <v>4</v>
      </c>
      <c r="W365" s="184">
        <v>4</v>
      </c>
      <c r="X365" s="184">
        <v>4</v>
      </c>
      <c r="Y365" s="184">
        <v>0</v>
      </c>
      <c r="Z365" s="184">
        <v>0</v>
      </c>
      <c r="AA365" s="184">
        <v>0</v>
      </c>
      <c r="AB365" s="184">
        <v>0</v>
      </c>
      <c r="AC365" s="185">
        <v>43</v>
      </c>
      <c r="AD365" s="185">
        <v>51.4</v>
      </c>
      <c r="AE365" s="184">
        <v>0</v>
      </c>
      <c r="AF365" s="185">
        <v>0</v>
      </c>
      <c r="AG365" s="184">
        <v>0</v>
      </c>
      <c r="AH365" s="185">
        <v>0</v>
      </c>
      <c r="AI365" s="184">
        <v>0</v>
      </c>
      <c r="AJ365" s="643">
        <v>0</v>
      </c>
    </row>
    <row r="366" spans="1:36" x14ac:dyDescent="0.2">
      <c r="A366" s="440" t="s">
        <v>83</v>
      </c>
      <c r="B366" s="642">
        <v>20</v>
      </c>
      <c r="C366" s="184">
        <v>0</v>
      </c>
      <c r="D366" s="184">
        <v>20</v>
      </c>
      <c r="E366" s="184">
        <v>0</v>
      </c>
      <c r="F366" s="184">
        <v>0</v>
      </c>
      <c r="G366" s="184">
        <v>0</v>
      </c>
      <c r="H366" s="184">
        <v>0</v>
      </c>
      <c r="I366" s="184">
        <v>0</v>
      </c>
      <c r="J366" s="184">
        <v>0</v>
      </c>
      <c r="K366" s="184">
        <v>0</v>
      </c>
      <c r="L366" s="184">
        <v>0</v>
      </c>
      <c r="M366" s="616" t="s">
        <v>24</v>
      </c>
      <c r="N366" s="588" t="s">
        <v>83</v>
      </c>
      <c r="O366" s="191">
        <v>0</v>
      </c>
      <c r="P366" s="184">
        <v>0</v>
      </c>
      <c r="Q366" s="184">
        <v>0</v>
      </c>
      <c r="R366" s="184">
        <v>0</v>
      </c>
      <c r="S366" s="184">
        <v>0</v>
      </c>
      <c r="T366" s="184">
        <v>0</v>
      </c>
      <c r="U366" s="184">
        <v>2</v>
      </c>
      <c r="V366" s="184">
        <v>4</v>
      </c>
      <c r="W366" s="184">
        <v>6</v>
      </c>
      <c r="X366" s="184">
        <v>8</v>
      </c>
      <c r="Y366" s="184">
        <v>0</v>
      </c>
      <c r="Z366" s="184">
        <v>0</v>
      </c>
      <c r="AA366" s="184">
        <v>0</v>
      </c>
      <c r="AB366" s="184">
        <v>0</v>
      </c>
      <c r="AC366" s="185">
        <v>48.4</v>
      </c>
      <c r="AD366" s="185">
        <v>56</v>
      </c>
      <c r="AE366" s="184">
        <v>0</v>
      </c>
      <c r="AF366" s="185">
        <v>0</v>
      </c>
      <c r="AG366" s="184">
        <v>0</v>
      </c>
      <c r="AH366" s="185">
        <v>0</v>
      </c>
      <c r="AI366" s="184">
        <v>0</v>
      </c>
      <c r="AJ366" s="643">
        <v>0</v>
      </c>
    </row>
    <row r="367" spans="1:36" x14ac:dyDescent="0.2">
      <c r="A367" s="440" t="s">
        <v>84</v>
      </c>
      <c r="B367" s="642">
        <v>34</v>
      </c>
      <c r="C367" s="184">
        <v>1</v>
      </c>
      <c r="D367" s="184">
        <v>29</v>
      </c>
      <c r="E367" s="184">
        <v>1</v>
      </c>
      <c r="F367" s="184">
        <v>2</v>
      </c>
      <c r="G367" s="184">
        <v>1</v>
      </c>
      <c r="H367" s="184">
        <v>0</v>
      </c>
      <c r="I367" s="184">
        <v>0</v>
      </c>
      <c r="J367" s="184">
        <v>0</v>
      </c>
      <c r="K367" s="184">
        <v>0</v>
      </c>
      <c r="L367" s="184">
        <v>0</v>
      </c>
      <c r="M367" s="616" t="s">
        <v>24</v>
      </c>
      <c r="N367" s="588" t="s">
        <v>84</v>
      </c>
      <c r="O367" s="191">
        <v>0</v>
      </c>
      <c r="P367" s="184">
        <v>0</v>
      </c>
      <c r="Q367" s="184">
        <v>0</v>
      </c>
      <c r="R367" s="184">
        <v>0</v>
      </c>
      <c r="S367" s="184">
        <v>0</v>
      </c>
      <c r="T367" s="184">
        <v>4</v>
      </c>
      <c r="U367" s="184">
        <v>4</v>
      </c>
      <c r="V367" s="184">
        <v>13</v>
      </c>
      <c r="W367" s="184">
        <v>11</v>
      </c>
      <c r="X367" s="184">
        <v>2</v>
      </c>
      <c r="Y367" s="184">
        <v>0</v>
      </c>
      <c r="Z367" s="184">
        <v>0</v>
      </c>
      <c r="AA367" s="184">
        <v>0</v>
      </c>
      <c r="AB367" s="184">
        <v>0</v>
      </c>
      <c r="AC367" s="185">
        <v>43.2</v>
      </c>
      <c r="AD367" s="185">
        <v>47.7</v>
      </c>
      <c r="AE367" s="184">
        <v>0</v>
      </c>
      <c r="AF367" s="185">
        <v>0</v>
      </c>
      <c r="AG367" s="184">
        <v>0</v>
      </c>
      <c r="AH367" s="185">
        <v>0</v>
      </c>
      <c r="AI367" s="184">
        <v>0</v>
      </c>
      <c r="AJ367" s="643">
        <v>0</v>
      </c>
    </row>
    <row r="368" spans="1:36" x14ac:dyDescent="0.2">
      <c r="A368" s="440" t="s">
        <v>51</v>
      </c>
      <c r="B368" s="642">
        <v>26</v>
      </c>
      <c r="C368" s="184">
        <v>0</v>
      </c>
      <c r="D368" s="184">
        <v>24</v>
      </c>
      <c r="E368" s="184">
        <v>0</v>
      </c>
      <c r="F368" s="184">
        <v>2</v>
      </c>
      <c r="G368" s="184">
        <v>0</v>
      </c>
      <c r="H368" s="184">
        <v>0</v>
      </c>
      <c r="I368" s="184">
        <v>0</v>
      </c>
      <c r="J368" s="184">
        <v>0</v>
      </c>
      <c r="K368" s="184">
        <v>0</v>
      </c>
      <c r="L368" s="184">
        <v>0</v>
      </c>
      <c r="M368" s="616" t="s">
        <v>24</v>
      </c>
      <c r="N368" s="588" t="s">
        <v>51</v>
      </c>
      <c r="O368" s="191">
        <v>0</v>
      </c>
      <c r="P368" s="184">
        <v>0</v>
      </c>
      <c r="Q368" s="184">
        <v>0</v>
      </c>
      <c r="R368" s="184">
        <v>0</v>
      </c>
      <c r="S368" s="184">
        <v>0</v>
      </c>
      <c r="T368" s="184">
        <v>1</v>
      </c>
      <c r="U368" s="184">
        <v>4</v>
      </c>
      <c r="V368" s="184">
        <v>11</v>
      </c>
      <c r="W368" s="184">
        <v>6</v>
      </c>
      <c r="X368" s="184">
        <v>4</v>
      </c>
      <c r="Y368" s="184">
        <v>0</v>
      </c>
      <c r="Z368" s="184">
        <v>0</v>
      </c>
      <c r="AA368" s="184">
        <v>0</v>
      </c>
      <c r="AB368" s="184">
        <v>0</v>
      </c>
      <c r="AC368" s="185">
        <v>44.8</v>
      </c>
      <c r="AD368" s="185">
        <v>50.8</v>
      </c>
      <c r="AE368" s="184">
        <v>0</v>
      </c>
      <c r="AF368" s="185">
        <v>0</v>
      </c>
      <c r="AG368" s="184">
        <v>0</v>
      </c>
      <c r="AH368" s="185">
        <v>0</v>
      </c>
      <c r="AI368" s="184">
        <v>0</v>
      </c>
      <c r="AJ368" s="643">
        <v>0</v>
      </c>
    </row>
    <row r="369" spans="1:36" x14ac:dyDescent="0.2">
      <c r="A369" s="440" t="s">
        <v>85</v>
      </c>
      <c r="B369" s="642">
        <v>20</v>
      </c>
      <c r="C369" s="184">
        <v>0</v>
      </c>
      <c r="D369" s="184">
        <v>15</v>
      </c>
      <c r="E369" s="184">
        <v>2</v>
      </c>
      <c r="F369" s="184">
        <v>2</v>
      </c>
      <c r="G369" s="184">
        <v>0</v>
      </c>
      <c r="H369" s="184">
        <v>0</v>
      </c>
      <c r="I369" s="184">
        <v>0</v>
      </c>
      <c r="J369" s="184">
        <v>0</v>
      </c>
      <c r="K369" s="184">
        <v>0</v>
      </c>
      <c r="L369" s="184">
        <v>1</v>
      </c>
      <c r="M369" s="616" t="s">
        <v>24</v>
      </c>
      <c r="N369" s="588" t="s">
        <v>85</v>
      </c>
      <c r="O369" s="191">
        <v>0</v>
      </c>
      <c r="P369" s="184">
        <v>0</v>
      </c>
      <c r="Q369" s="184">
        <v>0</v>
      </c>
      <c r="R369" s="184">
        <v>0</v>
      </c>
      <c r="S369" s="184">
        <v>0</v>
      </c>
      <c r="T369" s="184">
        <v>4</v>
      </c>
      <c r="U369" s="184">
        <v>6</v>
      </c>
      <c r="V369" s="184">
        <v>7</v>
      </c>
      <c r="W369" s="184">
        <v>2</v>
      </c>
      <c r="X369" s="184">
        <v>1</v>
      </c>
      <c r="Y369" s="184">
        <v>0</v>
      </c>
      <c r="Z369" s="184">
        <v>0</v>
      </c>
      <c r="AA369" s="184">
        <v>0</v>
      </c>
      <c r="AB369" s="184">
        <v>0</v>
      </c>
      <c r="AC369" s="185">
        <v>39.799999999999997</v>
      </c>
      <c r="AD369" s="185">
        <v>46.6</v>
      </c>
      <c r="AE369" s="184">
        <v>0</v>
      </c>
      <c r="AF369" s="185">
        <v>0</v>
      </c>
      <c r="AG369" s="184">
        <v>0</v>
      </c>
      <c r="AH369" s="185">
        <v>0</v>
      </c>
      <c r="AI369" s="184">
        <v>0</v>
      </c>
      <c r="AJ369" s="643">
        <v>0</v>
      </c>
    </row>
    <row r="370" spans="1:36" x14ac:dyDescent="0.2">
      <c r="A370" s="440" t="s">
        <v>86</v>
      </c>
      <c r="B370" s="642">
        <v>34</v>
      </c>
      <c r="C370" s="184">
        <v>2</v>
      </c>
      <c r="D370" s="184">
        <v>29</v>
      </c>
      <c r="E370" s="184">
        <v>1</v>
      </c>
      <c r="F370" s="184">
        <v>2</v>
      </c>
      <c r="G370" s="184">
        <v>0</v>
      </c>
      <c r="H370" s="184">
        <v>0</v>
      </c>
      <c r="I370" s="184">
        <v>0</v>
      </c>
      <c r="J370" s="184">
        <v>0</v>
      </c>
      <c r="K370" s="184">
        <v>0</v>
      </c>
      <c r="L370" s="184">
        <v>0</v>
      </c>
      <c r="M370" s="616" t="s">
        <v>24</v>
      </c>
      <c r="N370" s="588" t="s">
        <v>86</v>
      </c>
      <c r="O370" s="191">
        <v>0</v>
      </c>
      <c r="P370" s="184">
        <v>2</v>
      </c>
      <c r="Q370" s="184">
        <v>0</v>
      </c>
      <c r="R370" s="184">
        <v>0</v>
      </c>
      <c r="S370" s="184">
        <v>1</v>
      </c>
      <c r="T370" s="184">
        <v>7</v>
      </c>
      <c r="U370" s="184">
        <v>11</v>
      </c>
      <c r="V370" s="184">
        <v>10</v>
      </c>
      <c r="W370" s="184">
        <v>2</v>
      </c>
      <c r="X370" s="184">
        <v>1</v>
      </c>
      <c r="Y370" s="184">
        <v>0</v>
      </c>
      <c r="Z370" s="184">
        <v>0</v>
      </c>
      <c r="AA370" s="184">
        <v>0</v>
      </c>
      <c r="AB370" s="184">
        <v>0</v>
      </c>
      <c r="AC370" s="185">
        <v>36.799999999999997</v>
      </c>
      <c r="AD370" s="185">
        <v>43.4</v>
      </c>
      <c r="AE370" s="184">
        <v>0</v>
      </c>
      <c r="AF370" s="185">
        <v>0</v>
      </c>
      <c r="AG370" s="184">
        <v>0</v>
      </c>
      <c r="AH370" s="185">
        <v>0</v>
      </c>
      <c r="AI370" s="184">
        <v>0</v>
      </c>
      <c r="AJ370" s="643">
        <v>0</v>
      </c>
    </row>
    <row r="371" spans="1:36" x14ac:dyDescent="0.2">
      <c r="A371" s="440" t="s">
        <v>87</v>
      </c>
      <c r="B371" s="642">
        <v>22</v>
      </c>
      <c r="C371" s="184">
        <v>0</v>
      </c>
      <c r="D371" s="184">
        <v>20</v>
      </c>
      <c r="E371" s="184">
        <v>1</v>
      </c>
      <c r="F371" s="184">
        <v>1</v>
      </c>
      <c r="G371" s="184">
        <v>0</v>
      </c>
      <c r="H371" s="184">
        <v>0</v>
      </c>
      <c r="I371" s="184">
        <v>0</v>
      </c>
      <c r="J371" s="184">
        <v>0</v>
      </c>
      <c r="K371" s="184">
        <v>0</v>
      </c>
      <c r="L371" s="184">
        <v>0</v>
      </c>
      <c r="M371" s="616" t="s">
        <v>24</v>
      </c>
      <c r="N371" s="588" t="s">
        <v>87</v>
      </c>
      <c r="O371" s="191">
        <v>0</v>
      </c>
      <c r="P371" s="184">
        <v>0</v>
      </c>
      <c r="Q371" s="184">
        <v>0</v>
      </c>
      <c r="R371" s="184">
        <v>0</v>
      </c>
      <c r="S371" s="184">
        <v>2</v>
      </c>
      <c r="T371" s="184">
        <v>4</v>
      </c>
      <c r="U371" s="184">
        <v>5</v>
      </c>
      <c r="V371" s="184">
        <v>7</v>
      </c>
      <c r="W371" s="184">
        <v>4</v>
      </c>
      <c r="X371" s="184">
        <v>0</v>
      </c>
      <c r="Y371" s="184">
        <v>0</v>
      </c>
      <c r="Z371" s="184">
        <v>0</v>
      </c>
      <c r="AA371" s="184">
        <v>0</v>
      </c>
      <c r="AB371" s="184">
        <v>0</v>
      </c>
      <c r="AC371" s="185">
        <v>39.6</v>
      </c>
      <c r="AD371" s="185">
        <v>46.9</v>
      </c>
      <c r="AE371" s="184">
        <v>0</v>
      </c>
      <c r="AF371" s="185">
        <v>0</v>
      </c>
      <c r="AG371" s="184">
        <v>0</v>
      </c>
      <c r="AH371" s="185">
        <v>0</v>
      </c>
      <c r="AI371" s="184">
        <v>0</v>
      </c>
      <c r="AJ371" s="643">
        <v>0</v>
      </c>
    </row>
    <row r="372" spans="1:36" x14ac:dyDescent="0.2">
      <c r="A372" s="440" t="s">
        <v>53</v>
      </c>
      <c r="B372" s="646">
        <v>17</v>
      </c>
      <c r="C372" s="186">
        <v>0</v>
      </c>
      <c r="D372" s="186">
        <v>16</v>
      </c>
      <c r="E372" s="186">
        <v>0</v>
      </c>
      <c r="F372" s="186">
        <v>1</v>
      </c>
      <c r="G372" s="186">
        <v>0</v>
      </c>
      <c r="H372" s="186">
        <v>0</v>
      </c>
      <c r="I372" s="186">
        <v>0</v>
      </c>
      <c r="J372" s="186">
        <v>0</v>
      </c>
      <c r="K372" s="186">
        <v>0</v>
      </c>
      <c r="L372" s="186">
        <v>0</v>
      </c>
      <c r="M372" s="618" t="s">
        <v>24</v>
      </c>
      <c r="N372" s="588" t="s">
        <v>53</v>
      </c>
      <c r="O372" s="567">
        <v>0</v>
      </c>
      <c r="P372" s="186">
        <v>0</v>
      </c>
      <c r="Q372" s="186">
        <v>0</v>
      </c>
      <c r="R372" s="186">
        <v>1</v>
      </c>
      <c r="S372" s="186">
        <v>0</v>
      </c>
      <c r="T372" s="186">
        <v>3</v>
      </c>
      <c r="U372" s="186">
        <v>7</v>
      </c>
      <c r="V372" s="186">
        <v>1</v>
      </c>
      <c r="W372" s="186">
        <v>2</v>
      </c>
      <c r="X372" s="186">
        <v>3</v>
      </c>
      <c r="Y372" s="186">
        <v>0</v>
      </c>
      <c r="Z372" s="186">
        <v>0</v>
      </c>
      <c r="AA372" s="186">
        <v>0</v>
      </c>
      <c r="AB372" s="186">
        <v>0</v>
      </c>
      <c r="AC372" s="187">
        <v>39.799999999999997</v>
      </c>
      <c r="AD372" s="187">
        <v>50.9</v>
      </c>
      <c r="AE372" s="186">
        <v>0</v>
      </c>
      <c r="AF372" s="187">
        <v>0</v>
      </c>
      <c r="AG372" s="186">
        <v>0</v>
      </c>
      <c r="AH372" s="187">
        <v>0</v>
      </c>
      <c r="AI372" s="186">
        <v>0</v>
      </c>
      <c r="AJ372" s="647">
        <v>0</v>
      </c>
    </row>
    <row r="373" spans="1:36" x14ac:dyDescent="0.2">
      <c r="A373" s="440" t="s">
        <v>88</v>
      </c>
      <c r="B373" s="642">
        <v>14</v>
      </c>
      <c r="C373" s="184">
        <v>0</v>
      </c>
      <c r="D373" s="184">
        <v>12</v>
      </c>
      <c r="E373" s="184">
        <v>0</v>
      </c>
      <c r="F373" s="184">
        <v>2</v>
      </c>
      <c r="G373" s="184">
        <v>0</v>
      </c>
      <c r="H373" s="184">
        <v>0</v>
      </c>
      <c r="I373" s="184">
        <v>0</v>
      </c>
      <c r="J373" s="184">
        <v>0</v>
      </c>
      <c r="K373" s="184">
        <v>0</v>
      </c>
      <c r="L373" s="184">
        <v>0</v>
      </c>
      <c r="M373" s="616" t="s">
        <v>24</v>
      </c>
      <c r="N373" s="588" t="s">
        <v>88</v>
      </c>
      <c r="O373" s="191">
        <v>0</v>
      </c>
      <c r="P373" s="184">
        <v>0</v>
      </c>
      <c r="Q373" s="184">
        <v>0</v>
      </c>
      <c r="R373" s="184">
        <v>0</v>
      </c>
      <c r="S373" s="184">
        <v>1</v>
      </c>
      <c r="T373" s="184">
        <v>0</v>
      </c>
      <c r="U373" s="184">
        <v>5</v>
      </c>
      <c r="V373" s="184">
        <v>5</v>
      </c>
      <c r="W373" s="184">
        <v>3</v>
      </c>
      <c r="X373" s="184">
        <v>0</v>
      </c>
      <c r="Y373" s="184">
        <v>0</v>
      </c>
      <c r="Z373" s="184">
        <v>0</v>
      </c>
      <c r="AA373" s="184">
        <v>0</v>
      </c>
      <c r="AB373" s="184">
        <v>0</v>
      </c>
      <c r="AC373" s="185">
        <v>40.1</v>
      </c>
      <c r="AD373" s="185">
        <v>46</v>
      </c>
      <c r="AE373" s="184">
        <v>0</v>
      </c>
      <c r="AF373" s="185">
        <v>0</v>
      </c>
      <c r="AG373" s="184">
        <v>0</v>
      </c>
      <c r="AH373" s="185">
        <v>0</v>
      </c>
      <c r="AI373" s="184">
        <v>0</v>
      </c>
      <c r="AJ373" s="643">
        <v>0</v>
      </c>
    </row>
    <row r="374" spans="1:36" x14ac:dyDescent="0.2">
      <c r="A374" s="440" t="s">
        <v>89</v>
      </c>
      <c r="B374" s="642">
        <v>11</v>
      </c>
      <c r="C374" s="184">
        <v>0</v>
      </c>
      <c r="D374" s="184">
        <v>7</v>
      </c>
      <c r="E374" s="184">
        <v>0</v>
      </c>
      <c r="F374" s="184">
        <v>4</v>
      </c>
      <c r="G374" s="184">
        <v>0</v>
      </c>
      <c r="H374" s="184">
        <v>0</v>
      </c>
      <c r="I374" s="184">
        <v>0</v>
      </c>
      <c r="J374" s="184">
        <v>0</v>
      </c>
      <c r="K374" s="184">
        <v>0</v>
      </c>
      <c r="L374" s="184">
        <v>0</v>
      </c>
      <c r="M374" s="616" t="s">
        <v>24</v>
      </c>
      <c r="N374" s="588" t="s">
        <v>89</v>
      </c>
      <c r="O374" s="191">
        <v>0</v>
      </c>
      <c r="P374" s="184">
        <v>0</v>
      </c>
      <c r="Q374" s="184">
        <v>0</v>
      </c>
      <c r="R374" s="184">
        <v>0</v>
      </c>
      <c r="S374" s="184">
        <v>1</v>
      </c>
      <c r="T374" s="184">
        <v>1</v>
      </c>
      <c r="U374" s="184">
        <v>5</v>
      </c>
      <c r="V374" s="184">
        <v>2</v>
      </c>
      <c r="W374" s="184">
        <v>1</v>
      </c>
      <c r="X374" s="184">
        <v>1</v>
      </c>
      <c r="Y374" s="184">
        <v>0</v>
      </c>
      <c r="Z374" s="184">
        <v>0</v>
      </c>
      <c r="AA374" s="184">
        <v>0</v>
      </c>
      <c r="AB374" s="184">
        <v>0</v>
      </c>
      <c r="AC374" s="185">
        <v>40.6</v>
      </c>
      <c r="AD374" s="185">
        <v>48.1</v>
      </c>
      <c r="AE374" s="184">
        <v>0</v>
      </c>
      <c r="AF374" s="185">
        <v>0</v>
      </c>
      <c r="AG374" s="184">
        <v>0</v>
      </c>
      <c r="AH374" s="185">
        <v>0</v>
      </c>
      <c r="AI374" s="184">
        <v>0</v>
      </c>
      <c r="AJ374" s="643">
        <v>0</v>
      </c>
    </row>
    <row r="375" spans="1:36" x14ac:dyDescent="0.2">
      <c r="A375" s="440" t="s">
        <v>90</v>
      </c>
      <c r="B375" s="642">
        <v>10</v>
      </c>
      <c r="C375" s="184">
        <v>0</v>
      </c>
      <c r="D375" s="184">
        <v>7</v>
      </c>
      <c r="E375" s="184">
        <v>1</v>
      </c>
      <c r="F375" s="184">
        <v>2</v>
      </c>
      <c r="G375" s="184">
        <v>0</v>
      </c>
      <c r="H375" s="184">
        <v>0</v>
      </c>
      <c r="I375" s="184">
        <v>0</v>
      </c>
      <c r="J375" s="184">
        <v>0</v>
      </c>
      <c r="K375" s="184">
        <v>0</v>
      </c>
      <c r="L375" s="184">
        <v>0</v>
      </c>
      <c r="M375" s="616" t="s">
        <v>24</v>
      </c>
      <c r="N375" s="588" t="s">
        <v>90</v>
      </c>
      <c r="O375" s="191">
        <v>0</v>
      </c>
      <c r="P375" s="184">
        <v>0</v>
      </c>
      <c r="Q375" s="184">
        <v>1</v>
      </c>
      <c r="R375" s="184">
        <v>0</v>
      </c>
      <c r="S375" s="184">
        <v>1</v>
      </c>
      <c r="T375" s="184">
        <v>2</v>
      </c>
      <c r="U375" s="184">
        <v>3</v>
      </c>
      <c r="V375" s="184">
        <v>2</v>
      </c>
      <c r="W375" s="184">
        <v>1</v>
      </c>
      <c r="X375" s="184">
        <v>0</v>
      </c>
      <c r="Y375" s="184">
        <v>0</v>
      </c>
      <c r="Z375" s="184">
        <v>0</v>
      </c>
      <c r="AA375" s="184">
        <v>0</v>
      </c>
      <c r="AB375" s="184">
        <v>0</v>
      </c>
      <c r="AC375" s="185">
        <v>35.5</v>
      </c>
      <c r="AD375" s="185" t="s">
        <v>24</v>
      </c>
      <c r="AE375" s="184">
        <v>0</v>
      </c>
      <c r="AF375" s="185">
        <v>0</v>
      </c>
      <c r="AG375" s="184">
        <v>0</v>
      </c>
      <c r="AH375" s="185">
        <v>0</v>
      </c>
      <c r="AI375" s="184">
        <v>0</v>
      </c>
      <c r="AJ375" s="643">
        <v>0</v>
      </c>
    </row>
    <row r="376" spans="1:36" x14ac:dyDescent="0.2">
      <c r="A376" s="440" t="s">
        <v>55</v>
      </c>
      <c r="B376" s="642">
        <v>14</v>
      </c>
      <c r="C376" s="184">
        <v>0</v>
      </c>
      <c r="D376" s="184">
        <v>12</v>
      </c>
      <c r="E376" s="184">
        <v>0</v>
      </c>
      <c r="F376" s="184">
        <v>2</v>
      </c>
      <c r="G376" s="184">
        <v>0</v>
      </c>
      <c r="H376" s="184">
        <v>0</v>
      </c>
      <c r="I376" s="184">
        <v>0</v>
      </c>
      <c r="J376" s="184">
        <v>0</v>
      </c>
      <c r="K376" s="184">
        <v>0</v>
      </c>
      <c r="L376" s="184">
        <v>0</v>
      </c>
      <c r="M376" s="616" t="s">
        <v>24</v>
      </c>
      <c r="N376" s="588" t="s">
        <v>55</v>
      </c>
      <c r="O376" s="191">
        <v>0</v>
      </c>
      <c r="P376" s="184">
        <v>0</v>
      </c>
      <c r="Q376" s="184">
        <v>1</v>
      </c>
      <c r="R376" s="184">
        <v>0</v>
      </c>
      <c r="S376" s="184">
        <v>0</v>
      </c>
      <c r="T376" s="184">
        <v>3</v>
      </c>
      <c r="U376" s="184">
        <v>6</v>
      </c>
      <c r="V376" s="184">
        <v>2</v>
      </c>
      <c r="W376" s="184">
        <v>2</v>
      </c>
      <c r="X376" s="184">
        <v>0</v>
      </c>
      <c r="Y376" s="184">
        <v>0</v>
      </c>
      <c r="Z376" s="184">
        <v>0</v>
      </c>
      <c r="AA376" s="184">
        <v>0</v>
      </c>
      <c r="AB376" s="184">
        <v>0</v>
      </c>
      <c r="AC376" s="185">
        <v>37.700000000000003</v>
      </c>
      <c r="AD376" s="185">
        <v>46.2</v>
      </c>
      <c r="AE376" s="184">
        <v>0</v>
      </c>
      <c r="AF376" s="185">
        <v>0</v>
      </c>
      <c r="AG376" s="184">
        <v>0</v>
      </c>
      <c r="AH376" s="185">
        <v>0</v>
      </c>
      <c r="AI376" s="184">
        <v>0</v>
      </c>
      <c r="AJ376" s="643">
        <v>0</v>
      </c>
    </row>
    <row r="377" spans="1:36" x14ac:dyDescent="0.2">
      <c r="A377" s="440" t="s">
        <v>91</v>
      </c>
      <c r="B377" s="642">
        <v>8</v>
      </c>
      <c r="C377" s="184">
        <v>0</v>
      </c>
      <c r="D377" s="184">
        <v>8</v>
      </c>
      <c r="E377" s="184">
        <v>0</v>
      </c>
      <c r="F377" s="184">
        <v>0</v>
      </c>
      <c r="G377" s="184">
        <v>0</v>
      </c>
      <c r="H377" s="184">
        <v>0</v>
      </c>
      <c r="I377" s="184">
        <v>0</v>
      </c>
      <c r="J377" s="184">
        <v>0</v>
      </c>
      <c r="K377" s="184">
        <v>0</v>
      </c>
      <c r="L377" s="184">
        <v>0</v>
      </c>
      <c r="M377" s="616" t="s">
        <v>24</v>
      </c>
      <c r="N377" s="588" t="s">
        <v>91</v>
      </c>
      <c r="O377" s="191">
        <v>0</v>
      </c>
      <c r="P377" s="184">
        <v>0</v>
      </c>
      <c r="Q377" s="184">
        <v>0</v>
      </c>
      <c r="R377" s="184">
        <v>0</v>
      </c>
      <c r="S377" s="184">
        <v>0</v>
      </c>
      <c r="T377" s="184">
        <v>1</v>
      </c>
      <c r="U377" s="184">
        <v>2</v>
      </c>
      <c r="V377" s="184">
        <v>4</v>
      </c>
      <c r="W377" s="184">
        <v>0</v>
      </c>
      <c r="X377" s="184">
        <v>1</v>
      </c>
      <c r="Y377" s="184">
        <v>0</v>
      </c>
      <c r="Z377" s="184">
        <v>0</v>
      </c>
      <c r="AA377" s="184">
        <v>0</v>
      </c>
      <c r="AB377" s="184">
        <v>0</v>
      </c>
      <c r="AC377" s="185">
        <v>41.6</v>
      </c>
      <c r="AD377" s="185" t="s">
        <v>24</v>
      </c>
      <c r="AE377" s="184">
        <v>0</v>
      </c>
      <c r="AF377" s="185">
        <v>0</v>
      </c>
      <c r="AG377" s="184">
        <v>0</v>
      </c>
      <c r="AH377" s="185">
        <v>0</v>
      </c>
      <c r="AI377" s="184">
        <v>0</v>
      </c>
      <c r="AJ377" s="643">
        <v>0</v>
      </c>
    </row>
    <row r="378" spans="1:36" x14ac:dyDescent="0.2">
      <c r="A378" s="440" t="s">
        <v>92</v>
      </c>
      <c r="B378" s="642">
        <v>7</v>
      </c>
      <c r="C378" s="184">
        <v>0</v>
      </c>
      <c r="D378" s="184">
        <v>7</v>
      </c>
      <c r="E378" s="184">
        <v>0</v>
      </c>
      <c r="F378" s="184">
        <v>0</v>
      </c>
      <c r="G378" s="184">
        <v>0</v>
      </c>
      <c r="H378" s="184">
        <v>0</v>
      </c>
      <c r="I378" s="184">
        <v>0</v>
      </c>
      <c r="J378" s="184">
        <v>0</v>
      </c>
      <c r="K378" s="184">
        <v>0</v>
      </c>
      <c r="L378" s="184">
        <v>0</v>
      </c>
      <c r="M378" s="616" t="s">
        <v>24</v>
      </c>
      <c r="N378" s="588" t="s">
        <v>92</v>
      </c>
      <c r="O378" s="191">
        <v>0</v>
      </c>
      <c r="P378" s="184">
        <v>0</v>
      </c>
      <c r="Q378" s="184">
        <v>0</v>
      </c>
      <c r="R378" s="184">
        <v>0</v>
      </c>
      <c r="S378" s="184">
        <v>0</v>
      </c>
      <c r="T378" s="184">
        <v>1</v>
      </c>
      <c r="U378" s="184">
        <v>0</v>
      </c>
      <c r="V378" s="184">
        <v>5</v>
      </c>
      <c r="W378" s="184">
        <v>1</v>
      </c>
      <c r="X378" s="184">
        <v>0</v>
      </c>
      <c r="Y378" s="184">
        <v>0</v>
      </c>
      <c r="Z378" s="184">
        <v>0</v>
      </c>
      <c r="AA378" s="184">
        <v>0</v>
      </c>
      <c r="AB378" s="184">
        <v>0</v>
      </c>
      <c r="AC378" s="185">
        <v>42.7</v>
      </c>
      <c r="AD378" s="185" t="s">
        <v>24</v>
      </c>
      <c r="AE378" s="184">
        <v>0</v>
      </c>
      <c r="AF378" s="185">
        <v>0</v>
      </c>
      <c r="AG378" s="184">
        <v>0</v>
      </c>
      <c r="AH378" s="185">
        <v>0</v>
      </c>
      <c r="AI378" s="184">
        <v>0</v>
      </c>
      <c r="AJ378" s="643">
        <v>0</v>
      </c>
    </row>
    <row r="379" spans="1:36" x14ac:dyDescent="0.2">
      <c r="A379" s="440" t="s">
        <v>93</v>
      </c>
      <c r="B379" s="642">
        <v>7</v>
      </c>
      <c r="C379" s="184">
        <v>0</v>
      </c>
      <c r="D379" s="184">
        <v>7</v>
      </c>
      <c r="E379" s="184">
        <v>0</v>
      </c>
      <c r="F379" s="184">
        <v>0</v>
      </c>
      <c r="G379" s="184">
        <v>0</v>
      </c>
      <c r="H379" s="184">
        <v>0</v>
      </c>
      <c r="I379" s="184">
        <v>0</v>
      </c>
      <c r="J379" s="184">
        <v>0</v>
      </c>
      <c r="K379" s="184">
        <v>0</v>
      </c>
      <c r="L379" s="184">
        <v>0</v>
      </c>
      <c r="M379" s="616" t="s">
        <v>24</v>
      </c>
      <c r="N379" s="588" t="s">
        <v>93</v>
      </c>
      <c r="O379" s="191">
        <v>0</v>
      </c>
      <c r="P379" s="184">
        <v>0</v>
      </c>
      <c r="Q379" s="184">
        <v>0</v>
      </c>
      <c r="R379" s="184">
        <v>0</v>
      </c>
      <c r="S379" s="184">
        <v>0</v>
      </c>
      <c r="T379" s="184">
        <v>2</v>
      </c>
      <c r="U379" s="184">
        <v>0</v>
      </c>
      <c r="V379" s="184">
        <v>0</v>
      </c>
      <c r="W379" s="184">
        <v>4</v>
      </c>
      <c r="X379" s="184">
        <v>1</v>
      </c>
      <c r="Y379" s="184">
        <v>0</v>
      </c>
      <c r="Z379" s="184">
        <v>0</v>
      </c>
      <c r="AA379" s="184">
        <v>0</v>
      </c>
      <c r="AB379" s="184">
        <v>0</v>
      </c>
      <c r="AC379" s="185">
        <v>44.4</v>
      </c>
      <c r="AD379" s="185" t="s">
        <v>24</v>
      </c>
      <c r="AE379" s="184">
        <v>0</v>
      </c>
      <c r="AF379" s="185">
        <v>0</v>
      </c>
      <c r="AG379" s="184">
        <v>0</v>
      </c>
      <c r="AH379" s="185">
        <v>0</v>
      </c>
      <c r="AI379" s="184">
        <v>0</v>
      </c>
      <c r="AJ379" s="643">
        <v>0</v>
      </c>
    </row>
    <row r="380" spans="1:36" x14ac:dyDescent="0.2">
      <c r="A380" s="440" t="s">
        <v>57</v>
      </c>
      <c r="B380" s="642">
        <v>11</v>
      </c>
      <c r="C380" s="184">
        <v>1</v>
      </c>
      <c r="D380" s="184">
        <v>8</v>
      </c>
      <c r="E380" s="184">
        <v>0</v>
      </c>
      <c r="F380" s="184">
        <v>2</v>
      </c>
      <c r="G380" s="184">
        <v>0</v>
      </c>
      <c r="H380" s="184">
        <v>0</v>
      </c>
      <c r="I380" s="184">
        <v>0</v>
      </c>
      <c r="J380" s="184">
        <v>0</v>
      </c>
      <c r="K380" s="184">
        <v>0</v>
      </c>
      <c r="L380" s="184">
        <v>0</v>
      </c>
      <c r="M380" s="616" t="s">
        <v>24</v>
      </c>
      <c r="N380" s="588" t="s">
        <v>57</v>
      </c>
      <c r="O380" s="191">
        <v>0</v>
      </c>
      <c r="P380" s="184">
        <v>1</v>
      </c>
      <c r="Q380" s="184">
        <v>0</v>
      </c>
      <c r="R380" s="184">
        <v>0</v>
      </c>
      <c r="S380" s="184">
        <v>1</v>
      </c>
      <c r="T380" s="184">
        <v>1</v>
      </c>
      <c r="U380" s="184">
        <v>4</v>
      </c>
      <c r="V380" s="184">
        <v>2</v>
      </c>
      <c r="W380" s="184">
        <v>2</v>
      </c>
      <c r="X380" s="184">
        <v>0</v>
      </c>
      <c r="Y380" s="184">
        <v>0</v>
      </c>
      <c r="Z380" s="184">
        <v>0</v>
      </c>
      <c r="AA380" s="184">
        <v>0</v>
      </c>
      <c r="AB380" s="184">
        <v>0</v>
      </c>
      <c r="AC380" s="185">
        <v>36.1</v>
      </c>
      <c r="AD380" s="185">
        <v>47.5</v>
      </c>
      <c r="AE380" s="184">
        <v>0</v>
      </c>
      <c r="AF380" s="185">
        <v>0</v>
      </c>
      <c r="AG380" s="184">
        <v>0</v>
      </c>
      <c r="AH380" s="185">
        <v>0</v>
      </c>
      <c r="AI380" s="184">
        <v>0</v>
      </c>
      <c r="AJ380" s="643">
        <v>0</v>
      </c>
    </row>
    <row r="381" spans="1:36" x14ac:dyDescent="0.2">
      <c r="A381" s="440" t="s">
        <v>94</v>
      </c>
      <c r="B381" s="642">
        <v>9</v>
      </c>
      <c r="C381" s="184">
        <v>0</v>
      </c>
      <c r="D381" s="184">
        <v>9</v>
      </c>
      <c r="E381" s="184">
        <v>0</v>
      </c>
      <c r="F381" s="184">
        <v>0</v>
      </c>
      <c r="G381" s="184">
        <v>0</v>
      </c>
      <c r="H381" s="184">
        <v>0</v>
      </c>
      <c r="I381" s="184">
        <v>0</v>
      </c>
      <c r="J381" s="184">
        <v>0</v>
      </c>
      <c r="K381" s="184">
        <v>0</v>
      </c>
      <c r="L381" s="184">
        <v>0</v>
      </c>
      <c r="M381" s="616" t="s">
        <v>24</v>
      </c>
      <c r="N381" s="588" t="s">
        <v>94</v>
      </c>
      <c r="O381" s="191">
        <v>0</v>
      </c>
      <c r="P381" s="184">
        <v>0</v>
      </c>
      <c r="Q381" s="184">
        <v>0</v>
      </c>
      <c r="R381" s="184">
        <v>0</v>
      </c>
      <c r="S381" s="184">
        <v>0</v>
      </c>
      <c r="T381" s="184">
        <v>2</v>
      </c>
      <c r="U381" s="184">
        <v>7</v>
      </c>
      <c r="V381" s="184">
        <v>0</v>
      </c>
      <c r="W381" s="184">
        <v>0</v>
      </c>
      <c r="X381" s="184">
        <v>0</v>
      </c>
      <c r="Y381" s="184">
        <v>0</v>
      </c>
      <c r="Z381" s="184">
        <v>0</v>
      </c>
      <c r="AA381" s="184">
        <v>0</v>
      </c>
      <c r="AB381" s="184">
        <v>0</v>
      </c>
      <c r="AC381" s="185">
        <v>36.9</v>
      </c>
      <c r="AD381" s="185" t="s">
        <v>24</v>
      </c>
      <c r="AE381" s="184">
        <v>0</v>
      </c>
      <c r="AF381" s="185">
        <v>0</v>
      </c>
      <c r="AG381" s="184">
        <v>0</v>
      </c>
      <c r="AH381" s="185">
        <v>0</v>
      </c>
      <c r="AI381" s="184">
        <v>0</v>
      </c>
      <c r="AJ381" s="643">
        <v>0</v>
      </c>
    </row>
    <row r="382" spans="1:36" x14ac:dyDescent="0.2">
      <c r="A382" s="440" t="s">
        <v>95</v>
      </c>
      <c r="B382" s="642">
        <v>8</v>
      </c>
      <c r="C382" s="184">
        <v>0</v>
      </c>
      <c r="D382" s="184">
        <v>7</v>
      </c>
      <c r="E382" s="184">
        <v>1</v>
      </c>
      <c r="F382" s="184">
        <v>0</v>
      </c>
      <c r="G382" s="184">
        <v>0</v>
      </c>
      <c r="H382" s="184">
        <v>0</v>
      </c>
      <c r="I382" s="184">
        <v>0</v>
      </c>
      <c r="J382" s="184">
        <v>0</v>
      </c>
      <c r="K382" s="184">
        <v>0</v>
      </c>
      <c r="L382" s="184">
        <v>0</v>
      </c>
      <c r="M382" s="616" t="s">
        <v>24</v>
      </c>
      <c r="N382" s="588" t="s">
        <v>95</v>
      </c>
      <c r="O382" s="191">
        <v>0</v>
      </c>
      <c r="P382" s="184">
        <v>0</v>
      </c>
      <c r="Q382" s="184">
        <v>0</v>
      </c>
      <c r="R382" s="184">
        <v>0</v>
      </c>
      <c r="S382" s="184">
        <v>1</v>
      </c>
      <c r="T382" s="184">
        <v>2</v>
      </c>
      <c r="U382" s="184">
        <v>3</v>
      </c>
      <c r="V382" s="184">
        <v>0</v>
      </c>
      <c r="W382" s="184">
        <v>1</v>
      </c>
      <c r="X382" s="184">
        <v>1</v>
      </c>
      <c r="Y382" s="184">
        <v>0</v>
      </c>
      <c r="Z382" s="184">
        <v>0</v>
      </c>
      <c r="AA382" s="184">
        <v>0</v>
      </c>
      <c r="AB382" s="184">
        <v>0</v>
      </c>
      <c r="AC382" s="185">
        <v>38.1</v>
      </c>
      <c r="AD382" s="185" t="s">
        <v>24</v>
      </c>
      <c r="AE382" s="184">
        <v>0</v>
      </c>
      <c r="AF382" s="185">
        <v>0</v>
      </c>
      <c r="AG382" s="184">
        <v>0</v>
      </c>
      <c r="AH382" s="185">
        <v>0</v>
      </c>
      <c r="AI382" s="184">
        <v>0</v>
      </c>
      <c r="AJ382" s="643">
        <v>0</v>
      </c>
    </row>
    <row r="383" spans="1:36" x14ac:dyDescent="0.2">
      <c r="A383" s="440" t="s">
        <v>96</v>
      </c>
      <c r="B383" s="642">
        <v>16</v>
      </c>
      <c r="C383" s="184">
        <v>0</v>
      </c>
      <c r="D383" s="184">
        <v>12</v>
      </c>
      <c r="E383" s="184">
        <v>1</v>
      </c>
      <c r="F383" s="184">
        <v>3</v>
      </c>
      <c r="G383" s="184">
        <v>0</v>
      </c>
      <c r="H383" s="184">
        <v>0</v>
      </c>
      <c r="I383" s="184">
        <v>0</v>
      </c>
      <c r="J383" s="184">
        <v>0</v>
      </c>
      <c r="K383" s="184">
        <v>0</v>
      </c>
      <c r="L383" s="184">
        <v>0</v>
      </c>
      <c r="M383" s="616" t="s">
        <v>24</v>
      </c>
      <c r="N383" s="588" t="s">
        <v>96</v>
      </c>
      <c r="O383" s="191">
        <v>0</v>
      </c>
      <c r="P383" s="184">
        <v>0</v>
      </c>
      <c r="Q383" s="184">
        <v>0</v>
      </c>
      <c r="R383" s="184">
        <v>0</v>
      </c>
      <c r="S383" s="184">
        <v>2</v>
      </c>
      <c r="T383" s="184">
        <v>3</v>
      </c>
      <c r="U383" s="184">
        <v>5</v>
      </c>
      <c r="V383" s="184">
        <v>2</v>
      </c>
      <c r="W383" s="184">
        <v>4</v>
      </c>
      <c r="X383" s="184">
        <v>0</v>
      </c>
      <c r="Y383" s="184">
        <v>0</v>
      </c>
      <c r="Z383" s="184">
        <v>0</v>
      </c>
      <c r="AA383" s="184">
        <v>0</v>
      </c>
      <c r="AB383" s="184">
        <v>0</v>
      </c>
      <c r="AC383" s="185">
        <v>38.299999999999997</v>
      </c>
      <c r="AD383" s="185">
        <v>47</v>
      </c>
      <c r="AE383" s="184">
        <v>0</v>
      </c>
      <c r="AF383" s="185">
        <v>0</v>
      </c>
      <c r="AG383" s="184">
        <v>0</v>
      </c>
      <c r="AH383" s="185">
        <v>0</v>
      </c>
      <c r="AI383" s="184">
        <v>0</v>
      </c>
      <c r="AJ383" s="643">
        <v>0</v>
      </c>
    </row>
    <row r="384" spans="1:36" x14ac:dyDescent="0.2">
      <c r="A384" s="440" t="s">
        <v>58</v>
      </c>
      <c r="B384" s="642">
        <v>6</v>
      </c>
      <c r="C384" s="184">
        <v>0</v>
      </c>
      <c r="D384" s="184">
        <v>5</v>
      </c>
      <c r="E384" s="184">
        <v>0</v>
      </c>
      <c r="F384" s="184">
        <v>1</v>
      </c>
      <c r="G384" s="184">
        <v>0</v>
      </c>
      <c r="H384" s="184">
        <v>0</v>
      </c>
      <c r="I384" s="184">
        <v>0</v>
      </c>
      <c r="J384" s="184">
        <v>0</v>
      </c>
      <c r="K384" s="184">
        <v>0</v>
      </c>
      <c r="L384" s="184">
        <v>0</v>
      </c>
      <c r="M384" s="616" t="s">
        <v>24</v>
      </c>
      <c r="N384" s="588" t="s">
        <v>58</v>
      </c>
      <c r="O384" s="191">
        <v>0</v>
      </c>
      <c r="P384" s="184">
        <v>0</v>
      </c>
      <c r="Q384" s="184">
        <v>0</v>
      </c>
      <c r="R384" s="184">
        <v>0</v>
      </c>
      <c r="S384" s="184">
        <v>0</v>
      </c>
      <c r="T384" s="184">
        <v>2</v>
      </c>
      <c r="U384" s="184">
        <v>2</v>
      </c>
      <c r="V384" s="184">
        <v>2</v>
      </c>
      <c r="W384" s="184">
        <v>0</v>
      </c>
      <c r="X384" s="184">
        <v>0</v>
      </c>
      <c r="Y384" s="184">
        <v>0</v>
      </c>
      <c r="Z384" s="184">
        <v>0</v>
      </c>
      <c r="AA384" s="184">
        <v>0</v>
      </c>
      <c r="AB384" s="184">
        <v>0</v>
      </c>
      <c r="AC384" s="185">
        <v>37.6</v>
      </c>
      <c r="AD384" s="185" t="s">
        <v>24</v>
      </c>
      <c r="AE384" s="184">
        <v>0</v>
      </c>
      <c r="AF384" s="185">
        <v>0</v>
      </c>
      <c r="AG384" s="184">
        <v>0</v>
      </c>
      <c r="AH384" s="185">
        <v>0</v>
      </c>
      <c r="AI384" s="184">
        <v>0</v>
      </c>
      <c r="AJ384" s="643">
        <v>0</v>
      </c>
    </row>
    <row r="385" spans="1:36" x14ac:dyDescent="0.2">
      <c r="A385" s="440" t="s">
        <v>97</v>
      </c>
      <c r="B385" s="642">
        <v>8</v>
      </c>
      <c r="C385" s="184">
        <v>0</v>
      </c>
      <c r="D385" s="184">
        <v>7</v>
      </c>
      <c r="E385" s="184">
        <v>0</v>
      </c>
      <c r="F385" s="184">
        <v>1</v>
      </c>
      <c r="G385" s="184">
        <v>0</v>
      </c>
      <c r="H385" s="184">
        <v>0</v>
      </c>
      <c r="I385" s="184">
        <v>0</v>
      </c>
      <c r="J385" s="184">
        <v>0</v>
      </c>
      <c r="K385" s="184">
        <v>0</v>
      </c>
      <c r="L385" s="184">
        <v>0</v>
      </c>
      <c r="M385" s="616" t="s">
        <v>24</v>
      </c>
      <c r="N385" s="588" t="s">
        <v>97</v>
      </c>
      <c r="O385" s="191">
        <v>0</v>
      </c>
      <c r="P385" s="184">
        <v>0</v>
      </c>
      <c r="Q385" s="184">
        <v>0</v>
      </c>
      <c r="R385" s="184">
        <v>0</v>
      </c>
      <c r="S385" s="184">
        <v>1</v>
      </c>
      <c r="T385" s="184">
        <v>0</v>
      </c>
      <c r="U385" s="184">
        <v>3</v>
      </c>
      <c r="V385" s="184">
        <v>4</v>
      </c>
      <c r="W385" s="184">
        <v>0</v>
      </c>
      <c r="X385" s="184">
        <v>0</v>
      </c>
      <c r="Y385" s="184">
        <v>0</v>
      </c>
      <c r="Z385" s="184">
        <v>0</v>
      </c>
      <c r="AA385" s="184">
        <v>0</v>
      </c>
      <c r="AB385" s="184">
        <v>0</v>
      </c>
      <c r="AC385" s="185">
        <v>38.200000000000003</v>
      </c>
      <c r="AD385" s="185" t="s">
        <v>24</v>
      </c>
      <c r="AE385" s="184">
        <v>0</v>
      </c>
      <c r="AF385" s="185">
        <v>0</v>
      </c>
      <c r="AG385" s="184">
        <v>0</v>
      </c>
      <c r="AH385" s="185">
        <v>0</v>
      </c>
      <c r="AI385" s="184">
        <v>0</v>
      </c>
      <c r="AJ385" s="643">
        <v>0</v>
      </c>
    </row>
    <row r="386" spans="1:36" x14ac:dyDescent="0.2">
      <c r="A386" s="440" t="s">
        <v>98</v>
      </c>
      <c r="B386" s="642">
        <v>7</v>
      </c>
      <c r="C386" s="184">
        <v>0</v>
      </c>
      <c r="D386" s="184">
        <v>6</v>
      </c>
      <c r="E386" s="184">
        <v>0</v>
      </c>
      <c r="F386" s="184">
        <v>1</v>
      </c>
      <c r="G386" s="184">
        <v>0</v>
      </c>
      <c r="H386" s="184">
        <v>0</v>
      </c>
      <c r="I386" s="184">
        <v>0</v>
      </c>
      <c r="J386" s="184">
        <v>0</v>
      </c>
      <c r="K386" s="184">
        <v>0</v>
      </c>
      <c r="L386" s="184">
        <v>0</v>
      </c>
      <c r="M386" s="616" t="s">
        <v>24</v>
      </c>
      <c r="N386" s="588" t="s">
        <v>98</v>
      </c>
      <c r="O386" s="191">
        <v>0</v>
      </c>
      <c r="P386" s="184">
        <v>0</v>
      </c>
      <c r="Q386" s="184">
        <v>0</v>
      </c>
      <c r="R386" s="184">
        <v>0</v>
      </c>
      <c r="S386" s="184">
        <v>0</v>
      </c>
      <c r="T386" s="184">
        <v>1</v>
      </c>
      <c r="U386" s="184">
        <v>4</v>
      </c>
      <c r="V386" s="184">
        <v>1</v>
      </c>
      <c r="W386" s="184">
        <v>1</v>
      </c>
      <c r="X386" s="184">
        <v>0</v>
      </c>
      <c r="Y386" s="184">
        <v>0</v>
      </c>
      <c r="Z386" s="184">
        <v>0</v>
      </c>
      <c r="AA386" s="184">
        <v>0</v>
      </c>
      <c r="AB386" s="184">
        <v>0</v>
      </c>
      <c r="AC386" s="185">
        <v>38.9</v>
      </c>
      <c r="AD386" s="185" t="s">
        <v>24</v>
      </c>
      <c r="AE386" s="184">
        <v>0</v>
      </c>
      <c r="AF386" s="185">
        <v>0</v>
      </c>
      <c r="AG386" s="184">
        <v>0</v>
      </c>
      <c r="AH386" s="185">
        <v>0</v>
      </c>
      <c r="AI386" s="184">
        <v>0</v>
      </c>
      <c r="AJ386" s="643">
        <v>0</v>
      </c>
    </row>
    <row r="387" spans="1:36" x14ac:dyDescent="0.2">
      <c r="A387" s="440" t="s">
        <v>99</v>
      </c>
      <c r="B387" s="642">
        <v>5</v>
      </c>
      <c r="C387" s="184">
        <v>0</v>
      </c>
      <c r="D387" s="184">
        <v>3</v>
      </c>
      <c r="E387" s="184">
        <v>0</v>
      </c>
      <c r="F387" s="184">
        <v>2</v>
      </c>
      <c r="G387" s="184">
        <v>0</v>
      </c>
      <c r="H387" s="184">
        <v>0</v>
      </c>
      <c r="I387" s="184">
        <v>0</v>
      </c>
      <c r="J387" s="184">
        <v>0</v>
      </c>
      <c r="K387" s="184">
        <v>0</v>
      </c>
      <c r="L387" s="184">
        <v>0</v>
      </c>
      <c r="M387" s="616" t="s">
        <v>24</v>
      </c>
      <c r="N387" s="588" t="s">
        <v>99</v>
      </c>
      <c r="O387" s="191">
        <v>0</v>
      </c>
      <c r="P387" s="184">
        <v>0</v>
      </c>
      <c r="Q387" s="184">
        <v>0</v>
      </c>
      <c r="R387" s="184">
        <v>1</v>
      </c>
      <c r="S387" s="184">
        <v>0</v>
      </c>
      <c r="T387" s="184">
        <v>0</v>
      </c>
      <c r="U387" s="184">
        <v>1</v>
      </c>
      <c r="V387" s="184">
        <v>0</v>
      </c>
      <c r="W387" s="184">
        <v>2</v>
      </c>
      <c r="X387" s="184">
        <v>0</v>
      </c>
      <c r="Y387" s="184">
        <v>1</v>
      </c>
      <c r="Z387" s="184">
        <v>0</v>
      </c>
      <c r="AA387" s="184">
        <v>0</v>
      </c>
      <c r="AB387" s="184">
        <v>0</v>
      </c>
      <c r="AC387" s="185">
        <v>44.2</v>
      </c>
      <c r="AD387" s="185" t="s">
        <v>24</v>
      </c>
      <c r="AE387" s="184">
        <v>1</v>
      </c>
      <c r="AF387" s="185">
        <v>20</v>
      </c>
      <c r="AG387" s="184">
        <v>0</v>
      </c>
      <c r="AH387" s="185">
        <v>0</v>
      </c>
      <c r="AI387" s="184">
        <v>0</v>
      </c>
      <c r="AJ387" s="643">
        <v>0</v>
      </c>
    </row>
    <row r="388" spans="1:36" x14ac:dyDescent="0.2">
      <c r="A388" s="440" t="s">
        <v>60</v>
      </c>
      <c r="B388" s="642">
        <v>14</v>
      </c>
      <c r="C388" s="184">
        <v>2</v>
      </c>
      <c r="D388" s="184">
        <v>10</v>
      </c>
      <c r="E388" s="184">
        <v>0</v>
      </c>
      <c r="F388" s="184">
        <v>2</v>
      </c>
      <c r="G388" s="184">
        <v>0</v>
      </c>
      <c r="H388" s="184">
        <v>0</v>
      </c>
      <c r="I388" s="184">
        <v>0</v>
      </c>
      <c r="J388" s="184">
        <v>0</v>
      </c>
      <c r="K388" s="184">
        <v>0</v>
      </c>
      <c r="L388" s="184">
        <v>0</v>
      </c>
      <c r="M388" s="616" t="s">
        <v>24</v>
      </c>
      <c r="N388" s="588" t="s">
        <v>60</v>
      </c>
      <c r="O388" s="191">
        <v>0</v>
      </c>
      <c r="P388" s="184">
        <v>1</v>
      </c>
      <c r="Q388" s="184">
        <v>0</v>
      </c>
      <c r="R388" s="184">
        <v>0</v>
      </c>
      <c r="S388" s="184">
        <v>0</v>
      </c>
      <c r="T388" s="184">
        <v>3</v>
      </c>
      <c r="U388" s="184">
        <v>5</v>
      </c>
      <c r="V388" s="184">
        <v>5</v>
      </c>
      <c r="W388" s="184">
        <v>0</v>
      </c>
      <c r="X388" s="184">
        <v>0</v>
      </c>
      <c r="Y388" s="184">
        <v>0</v>
      </c>
      <c r="Z388" s="184">
        <v>0</v>
      </c>
      <c r="AA388" s="184">
        <v>0</v>
      </c>
      <c r="AB388" s="184">
        <v>0</v>
      </c>
      <c r="AC388" s="185">
        <v>35.9</v>
      </c>
      <c r="AD388" s="185">
        <v>41.4</v>
      </c>
      <c r="AE388" s="184">
        <v>0</v>
      </c>
      <c r="AF388" s="185">
        <v>0</v>
      </c>
      <c r="AG388" s="184">
        <v>0</v>
      </c>
      <c r="AH388" s="185">
        <v>0</v>
      </c>
      <c r="AI388" s="184">
        <v>0</v>
      </c>
      <c r="AJ388" s="643">
        <v>0</v>
      </c>
    </row>
    <row r="389" spans="1:36" x14ac:dyDescent="0.2">
      <c r="A389" s="440" t="s">
        <v>100</v>
      </c>
      <c r="B389" s="642">
        <v>7</v>
      </c>
      <c r="C389" s="184">
        <v>0</v>
      </c>
      <c r="D389" s="184">
        <v>6</v>
      </c>
      <c r="E389" s="184">
        <v>0</v>
      </c>
      <c r="F389" s="184">
        <v>1</v>
      </c>
      <c r="G389" s="184">
        <v>0</v>
      </c>
      <c r="H389" s="184">
        <v>0</v>
      </c>
      <c r="I389" s="184">
        <v>0</v>
      </c>
      <c r="J389" s="184">
        <v>0</v>
      </c>
      <c r="K389" s="184">
        <v>0</v>
      </c>
      <c r="L389" s="184">
        <v>0</v>
      </c>
      <c r="M389" s="616" t="s">
        <v>24</v>
      </c>
      <c r="N389" s="588" t="s">
        <v>100</v>
      </c>
      <c r="O389" s="191">
        <v>0</v>
      </c>
      <c r="P389" s="184">
        <v>0</v>
      </c>
      <c r="Q389" s="184">
        <v>0</v>
      </c>
      <c r="R389" s="184">
        <v>0</v>
      </c>
      <c r="S389" s="184">
        <v>0</v>
      </c>
      <c r="T389" s="184">
        <v>2</v>
      </c>
      <c r="U389" s="184">
        <v>1</v>
      </c>
      <c r="V389" s="184">
        <v>3</v>
      </c>
      <c r="W389" s="184">
        <v>0</v>
      </c>
      <c r="X389" s="184">
        <v>1</v>
      </c>
      <c r="Y389" s="184">
        <v>0</v>
      </c>
      <c r="Z389" s="184">
        <v>0</v>
      </c>
      <c r="AA389" s="184">
        <v>0</v>
      </c>
      <c r="AB389" s="184">
        <v>0</v>
      </c>
      <c r="AC389" s="185">
        <v>41.4</v>
      </c>
      <c r="AD389" s="185" t="s">
        <v>24</v>
      </c>
      <c r="AE389" s="184">
        <v>0</v>
      </c>
      <c r="AF389" s="185">
        <v>0</v>
      </c>
      <c r="AG389" s="184">
        <v>0</v>
      </c>
      <c r="AH389" s="185">
        <v>0</v>
      </c>
      <c r="AI389" s="184">
        <v>0</v>
      </c>
      <c r="AJ389" s="643">
        <v>0</v>
      </c>
    </row>
    <row r="390" spans="1:36" x14ac:dyDescent="0.2">
      <c r="A390" s="440" t="s">
        <v>101</v>
      </c>
      <c r="B390" s="642">
        <v>13</v>
      </c>
      <c r="C390" s="184">
        <v>0</v>
      </c>
      <c r="D390" s="184">
        <v>11</v>
      </c>
      <c r="E390" s="184">
        <v>0</v>
      </c>
      <c r="F390" s="184">
        <v>2</v>
      </c>
      <c r="G390" s="184">
        <v>0</v>
      </c>
      <c r="H390" s="184">
        <v>0</v>
      </c>
      <c r="I390" s="184">
        <v>0</v>
      </c>
      <c r="J390" s="184">
        <v>0</v>
      </c>
      <c r="K390" s="184">
        <v>0</v>
      </c>
      <c r="L390" s="184">
        <v>0</v>
      </c>
      <c r="M390" s="616" t="s">
        <v>24</v>
      </c>
      <c r="N390" s="588" t="s">
        <v>101</v>
      </c>
      <c r="O390" s="191">
        <v>0</v>
      </c>
      <c r="P390" s="184">
        <v>0</v>
      </c>
      <c r="Q390" s="184">
        <v>1</v>
      </c>
      <c r="R390" s="184">
        <v>0</v>
      </c>
      <c r="S390" s="184">
        <v>0</v>
      </c>
      <c r="T390" s="184">
        <v>1</v>
      </c>
      <c r="U390" s="184">
        <v>4</v>
      </c>
      <c r="V390" s="184">
        <v>6</v>
      </c>
      <c r="W390" s="184">
        <v>0</v>
      </c>
      <c r="X390" s="184">
        <v>1</v>
      </c>
      <c r="Y390" s="184">
        <v>0</v>
      </c>
      <c r="Z390" s="184">
        <v>0</v>
      </c>
      <c r="AA390" s="184">
        <v>0</v>
      </c>
      <c r="AB390" s="184">
        <v>0</v>
      </c>
      <c r="AC390" s="185">
        <v>39.5</v>
      </c>
      <c r="AD390" s="185">
        <v>44.8</v>
      </c>
      <c r="AE390" s="184">
        <v>0</v>
      </c>
      <c r="AF390" s="185">
        <v>0</v>
      </c>
      <c r="AG390" s="184">
        <v>0</v>
      </c>
      <c r="AH390" s="185">
        <v>0</v>
      </c>
      <c r="AI390" s="184">
        <v>0</v>
      </c>
      <c r="AJ390" s="643">
        <v>0</v>
      </c>
    </row>
    <row r="391" spans="1:36" x14ac:dyDescent="0.2">
      <c r="A391" s="440" t="s">
        <v>102</v>
      </c>
      <c r="B391" s="642">
        <v>13</v>
      </c>
      <c r="C391" s="184">
        <v>0</v>
      </c>
      <c r="D391" s="184">
        <v>13</v>
      </c>
      <c r="E391" s="184">
        <v>0</v>
      </c>
      <c r="F391" s="184">
        <v>0</v>
      </c>
      <c r="G391" s="184">
        <v>0</v>
      </c>
      <c r="H391" s="184">
        <v>0</v>
      </c>
      <c r="I391" s="184">
        <v>0</v>
      </c>
      <c r="J391" s="184">
        <v>0</v>
      </c>
      <c r="K391" s="184">
        <v>0</v>
      </c>
      <c r="L391" s="184">
        <v>0</v>
      </c>
      <c r="M391" s="616" t="s">
        <v>24</v>
      </c>
      <c r="N391" s="588" t="s">
        <v>102</v>
      </c>
      <c r="O391" s="191">
        <v>0</v>
      </c>
      <c r="P391" s="184">
        <v>0</v>
      </c>
      <c r="Q391" s="184">
        <v>0</v>
      </c>
      <c r="R391" s="184">
        <v>0</v>
      </c>
      <c r="S391" s="184">
        <v>0</v>
      </c>
      <c r="T391" s="184">
        <v>6</v>
      </c>
      <c r="U391" s="184">
        <v>5</v>
      </c>
      <c r="V391" s="184">
        <v>2</v>
      </c>
      <c r="W391" s="184">
        <v>0</v>
      </c>
      <c r="X391" s="184">
        <v>0</v>
      </c>
      <c r="Y391" s="184">
        <v>0</v>
      </c>
      <c r="Z391" s="184">
        <v>0</v>
      </c>
      <c r="AA391" s="184">
        <v>0</v>
      </c>
      <c r="AB391" s="184">
        <v>0</v>
      </c>
      <c r="AC391" s="185">
        <v>35.700000000000003</v>
      </c>
      <c r="AD391" s="185">
        <v>40.9</v>
      </c>
      <c r="AE391" s="184">
        <v>0</v>
      </c>
      <c r="AF391" s="185">
        <v>0</v>
      </c>
      <c r="AG391" s="184">
        <v>0</v>
      </c>
      <c r="AH391" s="185">
        <v>0</v>
      </c>
      <c r="AI391" s="184">
        <v>0</v>
      </c>
      <c r="AJ391" s="643">
        <v>0</v>
      </c>
    </row>
    <row r="392" spans="1:36" x14ac:dyDescent="0.2">
      <c r="A392" s="440" t="s">
        <v>62</v>
      </c>
      <c r="B392" s="642">
        <v>7</v>
      </c>
      <c r="C392" s="184">
        <v>0</v>
      </c>
      <c r="D392" s="184">
        <v>7</v>
      </c>
      <c r="E392" s="184">
        <v>0</v>
      </c>
      <c r="F392" s="184">
        <v>0</v>
      </c>
      <c r="G392" s="184">
        <v>0</v>
      </c>
      <c r="H392" s="184">
        <v>0</v>
      </c>
      <c r="I392" s="184">
        <v>0</v>
      </c>
      <c r="J392" s="184">
        <v>0</v>
      </c>
      <c r="K392" s="184">
        <v>0</v>
      </c>
      <c r="L392" s="184">
        <v>0</v>
      </c>
      <c r="M392" s="616" t="s">
        <v>24</v>
      </c>
      <c r="N392" s="588" t="s">
        <v>62</v>
      </c>
      <c r="O392" s="191">
        <v>0</v>
      </c>
      <c r="P392" s="184">
        <v>0</v>
      </c>
      <c r="Q392" s="184">
        <v>0</v>
      </c>
      <c r="R392" s="184">
        <v>1</v>
      </c>
      <c r="S392" s="184">
        <v>0</v>
      </c>
      <c r="T392" s="184">
        <v>1</v>
      </c>
      <c r="U392" s="184">
        <v>2</v>
      </c>
      <c r="V392" s="184">
        <v>0</v>
      </c>
      <c r="W392" s="184">
        <v>3</v>
      </c>
      <c r="X392" s="184">
        <v>0</v>
      </c>
      <c r="Y392" s="184">
        <v>0</v>
      </c>
      <c r="Z392" s="184">
        <v>0</v>
      </c>
      <c r="AA392" s="184">
        <v>0</v>
      </c>
      <c r="AB392" s="184">
        <v>0</v>
      </c>
      <c r="AC392" s="185">
        <v>39.5</v>
      </c>
      <c r="AD392" s="185" t="s">
        <v>24</v>
      </c>
      <c r="AE392" s="184">
        <v>0</v>
      </c>
      <c r="AF392" s="185">
        <v>0</v>
      </c>
      <c r="AG392" s="184">
        <v>0</v>
      </c>
      <c r="AH392" s="185">
        <v>0</v>
      </c>
      <c r="AI392" s="184">
        <v>0</v>
      </c>
      <c r="AJ392" s="643">
        <v>0</v>
      </c>
    </row>
    <row r="393" spans="1:36" x14ac:dyDescent="0.2">
      <c r="A393" s="440" t="s">
        <v>103</v>
      </c>
      <c r="B393" s="642">
        <v>10</v>
      </c>
      <c r="C393" s="184">
        <v>1</v>
      </c>
      <c r="D393" s="184">
        <v>9</v>
      </c>
      <c r="E393" s="184">
        <v>0</v>
      </c>
      <c r="F393" s="184">
        <v>0</v>
      </c>
      <c r="G393" s="184">
        <v>0</v>
      </c>
      <c r="H393" s="184">
        <v>0</v>
      </c>
      <c r="I393" s="184">
        <v>0</v>
      </c>
      <c r="J393" s="184">
        <v>0</v>
      </c>
      <c r="K393" s="184">
        <v>0</v>
      </c>
      <c r="L393" s="184">
        <v>0</v>
      </c>
      <c r="M393" s="616" t="s">
        <v>24</v>
      </c>
      <c r="N393" s="588" t="s">
        <v>103</v>
      </c>
      <c r="O393" s="191">
        <v>1</v>
      </c>
      <c r="P393" s="184">
        <v>0</v>
      </c>
      <c r="Q393" s="184">
        <v>0</v>
      </c>
      <c r="R393" s="184">
        <v>0</v>
      </c>
      <c r="S393" s="184">
        <v>0</v>
      </c>
      <c r="T393" s="184">
        <v>0</v>
      </c>
      <c r="U393" s="184">
        <v>2</v>
      </c>
      <c r="V393" s="184">
        <v>3</v>
      </c>
      <c r="W393" s="184">
        <v>2</v>
      </c>
      <c r="X393" s="184">
        <v>1</v>
      </c>
      <c r="Y393" s="184">
        <v>1</v>
      </c>
      <c r="Z393" s="184">
        <v>0</v>
      </c>
      <c r="AA393" s="184">
        <v>0</v>
      </c>
      <c r="AB393" s="184">
        <v>0</v>
      </c>
      <c r="AC393" s="185">
        <v>41</v>
      </c>
      <c r="AD393" s="185" t="s">
        <v>24</v>
      </c>
      <c r="AE393" s="184">
        <v>1</v>
      </c>
      <c r="AF393" s="185">
        <v>10</v>
      </c>
      <c r="AG393" s="184">
        <v>0</v>
      </c>
      <c r="AH393" s="185">
        <v>0</v>
      </c>
      <c r="AI393" s="184">
        <v>0</v>
      </c>
      <c r="AJ393" s="643">
        <v>0</v>
      </c>
    </row>
    <row r="394" spans="1:36" x14ac:dyDescent="0.2">
      <c r="A394" s="440" t="s">
        <v>104</v>
      </c>
      <c r="B394" s="642">
        <v>12</v>
      </c>
      <c r="C394" s="184">
        <v>0</v>
      </c>
      <c r="D394" s="184">
        <v>11</v>
      </c>
      <c r="E394" s="184">
        <v>0</v>
      </c>
      <c r="F394" s="184">
        <v>1</v>
      </c>
      <c r="G394" s="184">
        <v>0</v>
      </c>
      <c r="H394" s="184">
        <v>0</v>
      </c>
      <c r="I394" s="184">
        <v>0</v>
      </c>
      <c r="J394" s="184">
        <v>0</v>
      </c>
      <c r="K394" s="184">
        <v>0</v>
      </c>
      <c r="L394" s="184">
        <v>0</v>
      </c>
      <c r="M394" s="616" t="s">
        <v>24</v>
      </c>
      <c r="N394" s="588" t="s">
        <v>104</v>
      </c>
      <c r="O394" s="191">
        <v>0</v>
      </c>
      <c r="P394" s="184">
        <v>0</v>
      </c>
      <c r="Q394" s="184">
        <v>0</v>
      </c>
      <c r="R394" s="184">
        <v>2</v>
      </c>
      <c r="S394" s="184">
        <v>2</v>
      </c>
      <c r="T394" s="184">
        <v>2</v>
      </c>
      <c r="U394" s="184">
        <v>5</v>
      </c>
      <c r="V394" s="184">
        <v>1</v>
      </c>
      <c r="W394" s="184">
        <v>0</v>
      </c>
      <c r="X394" s="184">
        <v>0</v>
      </c>
      <c r="Y394" s="184">
        <v>0</v>
      </c>
      <c r="Z394" s="184">
        <v>0</v>
      </c>
      <c r="AA394" s="184">
        <v>0</v>
      </c>
      <c r="AB394" s="184">
        <v>0</v>
      </c>
      <c r="AC394" s="185">
        <v>33.1</v>
      </c>
      <c r="AD394" s="185">
        <v>40</v>
      </c>
      <c r="AE394" s="184">
        <v>0</v>
      </c>
      <c r="AF394" s="185">
        <v>0</v>
      </c>
      <c r="AG394" s="184">
        <v>0</v>
      </c>
      <c r="AH394" s="185">
        <v>0</v>
      </c>
      <c r="AI394" s="184">
        <v>0</v>
      </c>
      <c r="AJ394" s="643">
        <v>0</v>
      </c>
    </row>
    <row r="395" spans="1:36" x14ac:dyDescent="0.2">
      <c r="A395" s="440" t="s">
        <v>105</v>
      </c>
      <c r="B395" s="642">
        <v>29</v>
      </c>
      <c r="C395" s="184">
        <v>14</v>
      </c>
      <c r="D395" s="184">
        <v>14</v>
      </c>
      <c r="E395" s="184">
        <v>0</v>
      </c>
      <c r="F395" s="184">
        <v>0</v>
      </c>
      <c r="G395" s="184">
        <v>0</v>
      </c>
      <c r="H395" s="184">
        <v>1</v>
      </c>
      <c r="I395" s="184">
        <v>0</v>
      </c>
      <c r="J395" s="184">
        <v>0</v>
      </c>
      <c r="K395" s="184">
        <v>0</v>
      </c>
      <c r="L395" s="184">
        <v>0</v>
      </c>
      <c r="M395" s="616" t="s">
        <v>24</v>
      </c>
      <c r="N395" s="588" t="s">
        <v>105</v>
      </c>
      <c r="O395" s="191">
        <v>0</v>
      </c>
      <c r="P395" s="184">
        <v>2</v>
      </c>
      <c r="Q395" s="184">
        <v>0</v>
      </c>
      <c r="R395" s="184">
        <v>0</v>
      </c>
      <c r="S395" s="184">
        <v>1</v>
      </c>
      <c r="T395" s="184">
        <v>4</v>
      </c>
      <c r="U395" s="184">
        <v>6</v>
      </c>
      <c r="V395" s="184">
        <v>6</v>
      </c>
      <c r="W395" s="184">
        <v>8</v>
      </c>
      <c r="X395" s="184">
        <v>2</v>
      </c>
      <c r="Y395" s="184">
        <v>0</v>
      </c>
      <c r="Z395" s="184">
        <v>0</v>
      </c>
      <c r="AA395" s="184">
        <v>0</v>
      </c>
      <c r="AB395" s="184">
        <v>0</v>
      </c>
      <c r="AC395" s="185">
        <v>39.6</v>
      </c>
      <c r="AD395" s="185">
        <v>47.7</v>
      </c>
      <c r="AE395" s="184">
        <v>0</v>
      </c>
      <c r="AF395" s="185">
        <v>0</v>
      </c>
      <c r="AG395" s="184">
        <v>0</v>
      </c>
      <c r="AH395" s="185">
        <v>0</v>
      </c>
      <c r="AI395" s="184">
        <v>0</v>
      </c>
      <c r="AJ395" s="643">
        <v>0</v>
      </c>
    </row>
    <row r="396" spans="1:36" x14ac:dyDescent="0.2">
      <c r="A396" s="440" t="s">
        <v>64</v>
      </c>
      <c r="B396" s="642">
        <v>7</v>
      </c>
      <c r="C396" s="184">
        <v>0</v>
      </c>
      <c r="D396" s="184">
        <v>7</v>
      </c>
      <c r="E396" s="184">
        <v>0</v>
      </c>
      <c r="F396" s="184">
        <v>0</v>
      </c>
      <c r="G396" s="184">
        <v>0</v>
      </c>
      <c r="H396" s="184">
        <v>0</v>
      </c>
      <c r="I396" s="184">
        <v>0</v>
      </c>
      <c r="J396" s="184">
        <v>0</v>
      </c>
      <c r="K396" s="184">
        <v>0</v>
      </c>
      <c r="L396" s="184">
        <v>0</v>
      </c>
      <c r="M396" s="616" t="s">
        <v>24</v>
      </c>
      <c r="N396" s="588" t="s">
        <v>64</v>
      </c>
      <c r="O396" s="191">
        <v>0</v>
      </c>
      <c r="P396" s="184">
        <v>0</v>
      </c>
      <c r="Q396" s="184">
        <v>0</v>
      </c>
      <c r="R396" s="184">
        <v>0</v>
      </c>
      <c r="S396" s="184">
        <v>0</v>
      </c>
      <c r="T396" s="184">
        <v>1</v>
      </c>
      <c r="U396" s="184">
        <v>4</v>
      </c>
      <c r="V396" s="184">
        <v>1</v>
      </c>
      <c r="W396" s="184">
        <v>0</v>
      </c>
      <c r="X396" s="184">
        <v>1</v>
      </c>
      <c r="Y396" s="184">
        <v>0</v>
      </c>
      <c r="Z396" s="184">
        <v>0</v>
      </c>
      <c r="AA396" s="184">
        <v>0</v>
      </c>
      <c r="AB396" s="184">
        <v>0</v>
      </c>
      <c r="AC396" s="185">
        <v>40.4</v>
      </c>
      <c r="AD396" s="185" t="s">
        <v>24</v>
      </c>
      <c r="AE396" s="184">
        <v>0</v>
      </c>
      <c r="AF396" s="185">
        <v>0</v>
      </c>
      <c r="AG396" s="184">
        <v>0</v>
      </c>
      <c r="AH396" s="185">
        <v>0</v>
      </c>
      <c r="AI396" s="184">
        <v>0</v>
      </c>
      <c r="AJ396" s="643">
        <v>0</v>
      </c>
    </row>
    <row r="397" spans="1:36" x14ac:dyDescent="0.2">
      <c r="A397" s="440" t="s">
        <v>106</v>
      </c>
      <c r="B397" s="642">
        <v>6</v>
      </c>
      <c r="C397" s="184">
        <v>0</v>
      </c>
      <c r="D397" s="184">
        <v>5</v>
      </c>
      <c r="E397" s="184">
        <v>0</v>
      </c>
      <c r="F397" s="184">
        <v>1</v>
      </c>
      <c r="G397" s="184">
        <v>0</v>
      </c>
      <c r="H397" s="184">
        <v>0</v>
      </c>
      <c r="I397" s="184">
        <v>0</v>
      </c>
      <c r="J397" s="184">
        <v>0</v>
      </c>
      <c r="K397" s="184">
        <v>0</v>
      </c>
      <c r="L397" s="184">
        <v>0</v>
      </c>
      <c r="M397" s="616" t="s">
        <v>24</v>
      </c>
      <c r="N397" s="588" t="s">
        <v>106</v>
      </c>
      <c r="O397" s="191">
        <v>0</v>
      </c>
      <c r="P397" s="184">
        <v>0</v>
      </c>
      <c r="Q397" s="184">
        <v>0</v>
      </c>
      <c r="R397" s="184">
        <v>0</v>
      </c>
      <c r="S397" s="184">
        <v>1</v>
      </c>
      <c r="T397" s="184">
        <v>2</v>
      </c>
      <c r="U397" s="184">
        <v>0</v>
      </c>
      <c r="V397" s="184">
        <v>2</v>
      </c>
      <c r="W397" s="184">
        <v>1</v>
      </c>
      <c r="X397" s="184">
        <v>0</v>
      </c>
      <c r="Y397" s="184">
        <v>0</v>
      </c>
      <c r="Z397" s="184">
        <v>0</v>
      </c>
      <c r="AA397" s="184">
        <v>0</v>
      </c>
      <c r="AB397" s="184">
        <v>0</v>
      </c>
      <c r="AC397" s="185">
        <v>37.799999999999997</v>
      </c>
      <c r="AD397" s="185" t="s">
        <v>24</v>
      </c>
      <c r="AE397" s="184">
        <v>0</v>
      </c>
      <c r="AF397" s="185">
        <v>0</v>
      </c>
      <c r="AG397" s="184">
        <v>0</v>
      </c>
      <c r="AH397" s="185">
        <v>0</v>
      </c>
      <c r="AI397" s="184">
        <v>0</v>
      </c>
      <c r="AJ397" s="643">
        <v>0</v>
      </c>
    </row>
    <row r="398" spans="1:36" x14ac:dyDescent="0.2">
      <c r="A398" s="440" t="s">
        <v>107</v>
      </c>
      <c r="B398" s="642">
        <v>11</v>
      </c>
      <c r="C398" s="184">
        <v>0</v>
      </c>
      <c r="D398" s="184">
        <v>10</v>
      </c>
      <c r="E398" s="184">
        <v>0</v>
      </c>
      <c r="F398" s="184">
        <v>1</v>
      </c>
      <c r="G398" s="184">
        <v>0</v>
      </c>
      <c r="H398" s="184">
        <v>0</v>
      </c>
      <c r="I398" s="184">
        <v>0</v>
      </c>
      <c r="J398" s="184">
        <v>0</v>
      </c>
      <c r="K398" s="184">
        <v>0</v>
      </c>
      <c r="L398" s="184">
        <v>0</v>
      </c>
      <c r="M398" s="616" t="s">
        <v>24</v>
      </c>
      <c r="N398" s="588" t="s">
        <v>107</v>
      </c>
      <c r="O398" s="191">
        <v>0</v>
      </c>
      <c r="P398" s="184">
        <v>0</v>
      </c>
      <c r="Q398" s="184">
        <v>0</v>
      </c>
      <c r="R398" s="184">
        <v>0</v>
      </c>
      <c r="S398" s="184">
        <v>0</v>
      </c>
      <c r="T398" s="184">
        <v>1</v>
      </c>
      <c r="U398" s="184">
        <v>2</v>
      </c>
      <c r="V398" s="184">
        <v>2</v>
      </c>
      <c r="W398" s="184">
        <v>5</v>
      </c>
      <c r="X398" s="184">
        <v>1</v>
      </c>
      <c r="Y398" s="184">
        <v>0</v>
      </c>
      <c r="Z398" s="184">
        <v>0</v>
      </c>
      <c r="AA398" s="184">
        <v>0</v>
      </c>
      <c r="AB398" s="184">
        <v>0</v>
      </c>
      <c r="AC398" s="185">
        <v>44.2</v>
      </c>
      <c r="AD398" s="185">
        <v>50.1</v>
      </c>
      <c r="AE398" s="184">
        <v>0</v>
      </c>
      <c r="AF398" s="185">
        <v>0</v>
      </c>
      <c r="AG398" s="184">
        <v>0</v>
      </c>
      <c r="AH398" s="185">
        <v>0</v>
      </c>
      <c r="AI398" s="184">
        <v>0</v>
      </c>
      <c r="AJ398" s="643">
        <v>0</v>
      </c>
    </row>
    <row r="399" spans="1:36" x14ac:dyDescent="0.2">
      <c r="A399" s="440" t="s">
        <v>108</v>
      </c>
      <c r="B399" s="642">
        <v>10</v>
      </c>
      <c r="C399" s="184">
        <v>0</v>
      </c>
      <c r="D399" s="184">
        <v>8</v>
      </c>
      <c r="E399" s="184">
        <v>0</v>
      </c>
      <c r="F399" s="184">
        <v>2</v>
      </c>
      <c r="G399" s="184">
        <v>0</v>
      </c>
      <c r="H399" s="184">
        <v>0</v>
      </c>
      <c r="I399" s="184">
        <v>0</v>
      </c>
      <c r="J399" s="184">
        <v>0</v>
      </c>
      <c r="K399" s="184">
        <v>0</v>
      </c>
      <c r="L399" s="184">
        <v>0</v>
      </c>
      <c r="M399" s="616" t="s">
        <v>24</v>
      </c>
      <c r="N399" s="588" t="s">
        <v>108</v>
      </c>
      <c r="O399" s="191">
        <v>0</v>
      </c>
      <c r="P399" s="184">
        <v>0</v>
      </c>
      <c r="Q399" s="184">
        <v>0</v>
      </c>
      <c r="R399" s="184">
        <v>0</v>
      </c>
      <c r="S399" s="184">
        <v>0</v>
      </c>
      <c r="T399" s="184">
        <v>2</v>
      </c>
      <c r="U399" s="184">
        <v>4</v>
      </c>
      <c r="V399" s="184">
        <v>2</v>
      </c>
      <c r="W399" s="184">
        <v>1</v>
      </c>
      <c r="X399" s="184">
        <v>1</v>
      </c>
      <c r="Y399" s="184">
        <v>0</v>
      </c>
      <c r="Z399" s="184">
        <v>0</v>
      </c>
      <c r="AA399" s="184">
        <v>0</v>
      </c>
      <c r="AB399" s="184">
        <v>0</v>
      </c>
      <c r="AC399" s="185">
        <v>40.299999999999997</v>
      </c>
      <c r="AD399" s="185" t="s">
        <v>24</v>
      </c>
      <c r="AE399" s="184">
        <v>0</v>
      </c>
      <c r="AF399" s="185">
        <v>0</v>
      </c>
      <c r="AG399" s="184">
        <v>0</v>
      </c>
      <c r="AH399" s="185">
        <v>0</v>
      </c>
      <c r="AI399" s="184">
        <v>0</v>
      </c>
      <c r="AJ399" s="643">
        <v>0</v>
      </c>
    </row>
    <row r="400" spans="1:36" x14ac:dyDescent="0.2">
      <c r="A400" s="440" t="s">
        <v>65</v>
      </c>
      <c r="B400" s="646">
        <v>18</v>
      </c>
      <c r="C400" s="186">
        <v>1</v>
      </c>
      <c r="D400" s="186">
        <v>17</v>
      </c>
      <c r="E400" s="186">
        <v>0</v>
      </c>
      <c r="F400" s="186">
        <v>0</v>
      </c>
      <c r="G400" s="186">
        <v>0</v>
      </c>
      <c r="H400" s="186">
        <v>0</v>
      </c>
      <c r="I400" s="186">
        <v>0</v>
      </c>
      <c r="J400" s="186">
        <v>0</v>
      </c>
      <c r="K400" s="186">
        <v>0</v>
      </c>
      <c r="L400" s="186">
        <v>0</v>
      </c>
      <c r="M400" s="618" t="s">
        <v>24</v>
      </c>
      <c r="N400" s="588" t="s">
        <v>65</v>
      </c>
      <c r="O400" s="567">
        <v>0</v>
      </c>
      <c r="P400" s="186">
        <v>0</v>
      </c>
      <c r="Q400" s="186">
        <v>0</v>
      </c>
      <c r="R400" s="186">
        <v>1</v>
      </c>
      <c r="S400" s="186">
        <v>0</v>
      </c>
      <c r="T400" s="186">
        <v>2</v>
      </c>
      <c r="U400" s="186">
        <v>4</v>
      </c>
      <c r="V400" s="186">
        <v>6</v>
      </c>
      <c r="W400" s="186">
        <v>3</v>
      </c>
      <c r="X400" s="186">
        <v>2</v>
      </c>
      <c r="Y400" s="186">
        <v>0</v>
      </c>
      <c r="Z400" s="186">
        <v>0</v>
      </c>
      <c r="AA400" s="186">
        <v>0</v>
      </c>
      <c r="AB400" s="186">
        <v>0</v>
      </c>
      <c r="AC400" s="187">
        <v>41.5</v>
      </c>
      <c r="AD400" s="187">
        <v>48.9</v>
      </c>
      <c r="AE400" s="186">
        <v>0</v>
      </c>
      <c r="AF400" s="187">
        <v>0</v>
      </c>
      <c r="AG400" s="186">
        <v>0</v>
      </c>
      <c r="AH400" s="187">
        <v>0</v>
      </c>
      <c r="AI400" s="186">
        <v>0</v>
      </c>
      <c r="AJ400" s="647">
        <v>0</v>
      </c>
    </row>
    <row r="401" spans="1:36" x14ac:dyDescent="0.2">
      <c r="A401" s="440" t="s">
        <v>109</v>
      </c>
      <c r="B401" s="642">
        <v>13</v>
      </c>
      <c r="C401" s="184">
        <v>0</v>
      </c>
      <c r="D401" s="184">
        <v>11</v>
      </c>
      <c r="E401" s="184">
        <v>0</v>
      </c>
      <c r="F401" s="184">
        <v>2</v>
      </c>
      <c r="G401" s="184">
        <v>0</v>
      </c>
      <c r="H401" s="184">
        <v>0</v>
      </c>
      <c r="I401" s="184">
        <v>0</v>
      </c>
      <c r="J401" s="184">
        <v>0</v>
      </c>
      <c r="K401" s="184">
        <v>0</v>
      </c>
      <c r="L401" s="184">
        <v>0</v>
      </c>
      <c r="M401" s="616" t="s">
        <v>24</v>
      </c>
      <c r="N401" s="588" t="s">
        <v>109</v>
      </c>
      <c r="O401" s="191">
        <v>0</v>
      </c>
      <c r="P401" s="184">
        <v>0</v>
      </c>
      <c r="Q401" s="184">
        <v>0</v>
      </c>
      <c r="R401" s="184">
        <v>0</v>
      </c>
      <c r="S401" s="184">
        <v>0</v>
      </c>
      <c r="T401" s="184">
        <v>1</v>
      </c>
      <c r="U401" s="184">
        <v>6</v>
      </c>
      <c r="V401" s="184">
        <v>5</v>
      </c>
      <c r="W401" s="184">
        <v>0</v>
      </c>
      <c r="X401" s="184">
        <v>1</v>
      </c>
      <c r="Y401" s="184">
        <v>0</v>
      </c>
      <c r="Z401" s="184">
        <v>0</v>
      </c>
      <c r="AA401" s="184">
        <v>0</v>
      </c>
      <c r="AB401" s="184">
        <v>0</v>
      </c>
      <c r="AC401" s="185">
        <v>39.799999999999997</v>
      </c>
      <c r="AD401" s="185">
        <v>42.5</v>
      </c>
      <c r="AE401" s="184">
        <v>0</v>
      </c>
      <c r="AF401" s="185">
        <v>0</v>
      </c>
      <c r="AG401" s="184">
        <v>0</v>
      </c>
      <c r="AH401" s="185">
        <v>0</v>
      </c>
      <c r="AI401" s="184">
        <v>0</v>
      </c>
      <c r="AJ401" s="643">
        <v>0</v>
      </c>
    </row>
    <row r="402" spans="1:36" x14ac:dyDescent="0.2">
      <c r="A402" s="440" t="s">
        <v>110</v>
      </c>
      <c r="B402" s="642">
        <v>13</v>
      </c>
      <c r="C402" s="184">
        <v>0</v>
      </c>
      <c r="D402" s="184">
        <v>12</v>
      </c>
      <c r="E402" s="184">
        <v>0</v>
      </c>
      <c r="F402" s="184">
        <v>1</v>
      </c>
      <c r="G402" s="184">
        <v>0</v>
      </c>
      <c r="H402" s="184">
        <v>0</v>
      </c>
      <c r="I402" s="184">
        <v>0</v>
      </c>
      <c r="J402" s="184">
        <v>0</v>
      </c>
      <c r="K402" s="184">
        <v>0</v>
      </c>
      <c r="L402" s="184">
        <v>0</v>
      </c>
      <c r="M402" s="616" t="s">
        <v>24</v>
      </c>
      <c r="N402" s="588" t="s">
        <v>110</v>
      </c>
      <c r="O402" s="191">
        <v>0</v>
      </c>
      <c r="P402" s="184">
        <v>0</v>
      </c>
      <c r="Q402" s="184">
        <v>0</v>
      </c>
      <c r="R402" s="184">
        <v>0</v>
      </c>
      <c r="S402" s="184">
        <v>1</v>
      </c>
      <c r="T402" s="184">
        <v>0</v>
      </c>
      <c r="U402" s="184">
        <v>4</v>
      </c>
      <c r="V402" s="184">
        <v>3</v>
      </c>
      <c r="W402" s="184">
        <v>2</v>
      </c>
      <c r="X402" s="184">
        <v>2</v>
      </c>
      <c r="Y402" s="184">
        <v>1</v>
      </c>
      <c r="Z402" s="184">
        <v>0</v>
      </c>
      <c r="AA402" s="184">
        <v>0</v>
      </c>
      <c r="AB402" s="184">
        <v>0</v>
      </c>
      <c r="AC402" s="185">
        <v>43.7</v>
      </c>
      <c r="AD402" s="185">
        <v>52.5</v>
      </c>
      <c r="AE402" s="184">
        <v>1</v>
      </c>
      <c r="AF402" s="185">
        <v>7.6923076923076925</v>
      </c>
      <c r="AG402" s="184">
        <v>0</v>
      </c>
      <c r="AH402" s="185">
        <v>0</v>
      </c>
      <c r="AI402" s="184">
        <v>0</v>
      </c>
      <c r="AJ402" s="643">
        <v>0</v>
      </c>
    </row>
    <row r="403" spans="1:36" x14ac:dyDescent="0.2">
      <c r="A403" s="440" t="s">
        <v>111</v>
      </c>
      <c r="B403" s="642">
        <v>11</v>
      </c>
      <c r="C403" s="184">
        <v>0</v>
      </c>
      <c r="D403" s="184">
        <v>9</v>
      </c>
      <c r="E403" s="184">
        <v>0</v>
      </c>
      <c r="F403" s="184">
        <v>2</v>
      </c>
      <c r="G403" s="184">
        <v>0</v>
      </c>
      <c r="H403" s="184">
        <v>0</v>
      </c>
      <c r="I403" s="184">
        <v>0</v>
      </c>
      <c r="J403" s="184">
        <v>0</v>
      </c>
      <c r="K403" s="184">
        <v>0</v>
      </c>
      <c r="L403" s="184">
        <v>0</v>
      </c>
      <c r="M403" s="616" t="s">
        <v>24</v>
      </c>
      <c r="N403" s="588" t="s">
        <v>111</v>
      </c>
      <c r="O403" s="191">
        <v>0</v>
      </c>
      <c r="P403" s="184">
        <v>0</v>
      </c>
      <c r="Q403" s="184">
        <v>0</v>
      </c>
      <c r="R403" s="184">
        <v>0</v>
      </c>
      <c r="S403" s="184">
        <v>0</v>
      </c>
      <c r="T403" s="184">
        <v>1</v>
      </c>
      <c r="U403" s="184">
        <v>3</v>
      </c>
      <c r="V403" s="184">
        <v>2</v>
      </c>
      <c r="W403" s="184">
        <v>4</v>
      </c>
      <c r="X403" s="184">
        <v>0</v>
      </c>
      <c r="Y403" s="184">
        <v>1</v>
      </c>
      <c r="Z403" s="184">
        <v>0</v>
      </c>
      <c r="AA403" s="184">
        <v>0</v>
      </c>
      <c r="AB403" s="184">
        <v>0</v>
      </c>
      <c r="AC403" s="185">
        <v>43.2</v>
      </c>
      <c r="AD403" s="185">
        <v>51.7</v>
      </c>
      <c r="AE403" s="184">
        <v>1</v>
      </c>
      <c r="AF403" s="185">
        <v>9.0909090909090917</v>
      </c>
      <c r="AG403" s="184">
        <v>0</v>
      </c>
      <c r="AH403" s="185">
        <v>0</v>
      </c>
      <c r="AI403" s="184">
        <v>0</v>
      </c>
      <c r="AJ403" s="643">
        <v>0</v>
      </c>
    </row>
    <row r="404" spans="1:36" x14ac:dyDescent="0.2">
      <c r="A404" s="440" t="s">
        <v>67</v>
      </c>
      <c r="B404" s="642">
        <v>12</v>
      </c>
      <c r="C404" s="184">
        <v>0</v>
      </c>
      <c r="D404" s="184">
        <v>11</v>
      </c>
      <c r="E404" s="184">
        <v>0</v>
      </c>
      <c r="F404" s="184">
        <v>1</v>
      </c>
      <c r="G404" s="184">
        <v>0</v>
      </c>
      <c r="H404" s="184">
        <v>0</v>
      </c>
      <c r="I404" s="184">
        <v>0</v>
      </c>
      <c r="J404" s="184">
        <v>0</v>
      </c>
      <c r="K404" s="184">
        <v>0</v>
      </c>
      <c r="L404" s="184">
        <v>0</v>
      </c>
      <c r="M404" s="616" t="s">
        <v>24</v>
      </c>
      <c r="N404" s="588" t="s">
        <v>67</v>
      </c>
      <c r="O404" s="191">
        <v>0</v>
      </c>
      <c r="P404" s="184">
        <v>0</v>
      </c>
      <c r="Q404" s="184">
        <v>0</v>
      </c>
      <c r="R404" s="184">
        <v>0</v>
      </c>
      <c r="S404" s="184">
        <v>0</v>
      </c>
      <c r="T404" s="184">
        <v>3</v>
      </c>
      <c r="U404" s="184">
        <v>4</v>
      </c>
      <c r="V404" s="184">
        <v>3</v>
      </c>
      <c r="W404" s="184">
        <v>1</v>
      </c>
      <c r="X404" s="184">
        <v>1</v>
      </c>
      <c r="Y404" s="184">
        <v>0</v>
      </c>
      <c r="Z404" s="184">
        <v>0</v>
      </c>
      <c r="AA404" s="184">
        <v>0</v>
      </c>
      <c r="AB404" s="184">
        <v>0</v>
      </c>
      <c r="AC404" s="185">
        <v>39.4</v>
      </c>
      <c r="AD404" s="185">
        <v>47.7</v>
      </c>
      <c r="AE404" s="184">
        <v>0</v>
      </c>
      <c r="AF404" s="185">
        <v>0</v>
      </c>
      <c r="AG404" s="184">
        <v>0</v>
      </c>
      <c r="AH404" s="185">
        <v>0</v>
      </c>
      <c r="AI404" s="184">
        <v>0</v>
      </c>
      <c r="AJ404" s="643">
        <v>0</v>
      </c>
    </row>
    <row r="405" spans="1:36" x14ac:dyDescent="0.2">
      <c r="A405" s="440" t="s">
        <v>112</v>
      </c>
      <c r="B405" s="642">
        <v>10</v>
      </c>
      <c r="C405" s="184">
        <v>0</v>
      </c>
      <c r="D405" s="184">
        <v>9</v>
      </c>
      <c r="E405" s="184">
        <v>0</v>
      </c>
      <c r="F405" s="184">
        <v>0</v>
      </c>
      <c r="G405" s="184">
        <v>0</v>
      </c>
      <c r="H405" s="184">
        <v>0</v>
      </c>
      <c r="I405" s="184">
        <v>0</v>
      </c>
      <c r="J405" s="184">
        <v>1</v>
      </c>
      <c r="K405" s="184">
        <v>0</v>
      </c>
      <c r="L405" s="184">
        <v>0</v>
      </c>
      <c r="M405" s="616" t="s">
        <v>24</v>
      </c>
      <c r="N405" s="588" t="s">
        <v>112</v>
      </c>
      <c r="O405" s="191">
        <v>0</v>
      </c>
      <c r="P405" s="184">
        <v>0</v>
      </c>
      <c r="Q405" s="184">
        <v>0</v>
      </c>
      <c r="R405" s="184">
        <v>0</v>
      </c>
      <c r="S405" s="184">
        <v>0</v>
      </c>
      <c r="T405" s="184">
        <v>1</v>
      </c>
      <c r="U405" s="184">
        <v>1</v>
      </c>
      <c r="V405" s="184">
        <v>6</v>
      </c>
      <c r="W405" s="184">
        <v>2</v>
      </c>
      <c r="X405" s="184">
        <v>0</v>
      </c>
      <c r="Y405" s="184">
        <v>0</v>
      </c>
      <c r="Z405" s="184">
        <v>0</v>
      </c>
      <c r="AA405" s="184">
        <v>0</v>
      </c>
      <c r="AB405" s="184">
        <v>0</v>
      </c>
      <c r="AC405" s="185">
        <v>41.3</v>
      </c>
      <c r="AD405" s="185" t="s">
        <v>24</v>
      </c>
      <c r="AE405" s="184">
        <v>0</v>
      </c>
      <c r="AF405" s="185">
        <v>0</v>
      </c>
      <c r="AG405" s="184">
        <v>0</v>
      </c>
      <c r="AH405" s="185">
        <v>0</v>
      </c>
      <c r="AI405" s="184">
        <v>0</v>
      </c>
      <c r="AJ405" s="643">
        <v>0</v>
      </c>
    </row>
    <row r="406" spans="1:36" x14ac:dyDescent="0.2">
      <c r="A406" s="440" t="s">
        <v>113</v>
      </c>
      <c r="B406" s="642">
        <v>12</v>
      </c>
      <c r="C406" s="184">
        <v>0</v>
      </c>
      <c r="D406" s="184">
        <v>10</v>
      </c>
      <c r="E406" s="184">
        <v>0</v>
      </c>
      <c r="F406" s="184">
        <v>2</v>
      </c>
      <c r="G406" s="184">
        <v>0</v>
      </c>
      <c r="H406" s="184">
        <v>0</v>
      </c>
      <c r="I406" s="184">
        <v>0</v>
      </c>
      <c r="J406" s="184">
        <v>0</v>
      </c>
      <c r="K406" s="184">
        <v>0</v>
      </c>
      <c r="L406" s="184">
        <v>0</v>
      </c>
      <c r="M406" s="616" t="s">
        <v>24</v>
      </c>
      <c r="N406" s="588" t="s">
        <v>113</v>
      </c>
      <c r="O406" s="191">
        <v>0</v>
      </c>
      <c r="P406" s="184">
        <v>0</v>
      </c>
      <c r="Q406" s="184">
        <v>0</v>
      </c>
      <c r="R406" s="184">
        <v>0</v>
      </c>
      <c r="S406" s="184">
        <v>2</v>
      </c>
      <c r="T406" s="184">
        <v>3</v>
      </c>
      <c r="U406" s="184">
        <v>2</v>
      </c>
      <c r="V406" s="184">
        <v>0</v>
      </c>
      <c r="W406" s="184">
        <v>5</v>
      </c>
      <c r="X406" s="184">
        <v>0</v>
      </c>
      <c r="Y406" s="184">
        <v>0</v>
      </c>
      <c r="Z406" s="184">
        <v>0</v>
      </c>
      <c r="AA406" s="184">
        <v>0</v>
      </c>
      <c r="AB406" s="184">
        <v>0</v>
      </c>
      <c r="AC406" s="185">
        <v>39</v>
      </c>
      <c r="AD406" s="185">
        <v>48.4</v>
      </c>
      <c r="AE406" s="184">
        <v>0</v>
      </c>
      <c r="AF406" s="185">
        <v>0</v>
      </c>
      <c r="AG406" s="184">
        <v>0</v>
      </c>
      <c r="AH406" s="185">
        <v>0</v>
      </c>
      <c r="AI406" s="184">
        <v>0</v>
      </c>
      <c r="AJ406" s="643">
        <v>0</v>
      </c>
    </row>
    <row r="407" spans="1:36" x14ac:dyDescent="0.2">
      <c r="A407" s="440" t="s">
        <v>114</v>
      </c>
      <c r="B407" s="642">
        <v>6</v>
      </c>
      <c r="C407" s="184">
        <v>0</v>
      </c>
      <c r="D407" s="184">
        <v>4</v>
      </c>
      <c r="E407" s="184">
        <v>0</v>
      </c>
      <c r="F407" s="184">
        <v>2</v>
      </c>
      <c r="G407" s="184">
        <v>0</v>
      </c>
      <c r="H407" s="184">
        <v>0</v>
      </c>
      <c r="I407" s="184">
        <v>0</v>
      </c>
      <c r="J407" s="184">
        <v>0</v>
      </c>
      <c r="K407" s="184">
        <v>0</v>
      </c>
      <c r="L407" s="184">
        <v>0</v>
      </c>
      <c r="M407" s="616" t="s">
        <v>24</v>
      </c>
      <c r="N407" s="588" t="s">
        <v>114</v>
      </c>
      <c r="O407" s="191">
        <v>0</v>
      </c>
      <c r="P407" s="184">
        <v>0</v>
      </c>
      <c r="Q407" s="184">
        <v>0</v>
      </c>
      <c r="R407" s="184">
        <v>0</v>
      </c>
      <c r="S407" s="184">
        <v>0</v>
      </c>
      <c r="T407" s="184">
        <v>1</v>
      </c>
      <c r="U407" s="184">
        <v>3</v>
      </c>
      <c r="V407" s="184">
        <v>0</v>
      </c>
      <c r="W407" s="184">
        <v>1</v>
      </c>
      <c r="X407" s="184">
        <v>1</v>
      </c>
      <c r="Y407" s="184">
        <v>0</v>
      </c>
      <c r="Z407" s="184">
        <v>0</v>
      </c>
      <c r="AA407" s="184">
        <v>0</v>
      </c>
      <c r="AB407" s="184">
        <v>0</v>
      </c>
      <c r="AC407" s="185">
        <v>40.299999999999997</v>
      </c>
      <c r="AD407" s="185" t="s">
        <v>24</v>
      </c>
      <c r="AE407" s="184">
        <v>0</v>
      </c>
      <c r="AF407" s="185">
        <v>0</v>
      </c>
      <c r="AG407" s="184">
        <v>0</v>
      </c>
      <c r="AH407" s="185">
        <v>0</v>
      </c>
      <c r="AI407" s="184">
        <v>0</v>
      </c>
      <c r="AJ407" s="643">
        <v>0</v>
      </c>
    </row>
    <row r="408" spans="1:36" x14ac:dyDescent="0.2">
      <c r="A408" s="440" t="s">
        <v>69</v>
      </c>
      <c r="B408" s="646">
        <v>10</v>
      </c>
      <c r="C408" s="186">
        <v>0</v>
      </c>
      <c r="D408" s="186">
        <v>10</v>
      </c>
      <c r="E408" s="186">
        <v>0</v>
      </c>
      <c r="F408" s="186">
        <v>0</v>
      </c>
      <c r="G408" s="186">
        <v>0</v>
      </c>
      <c r="H408" s="186">
        <v>0</v>
      </c>
      <c r="I408" s="186">
        <v>0</v>
      </c>
      <c r="J408" s="186">
        <v>0</v>
      </c>
      <c r="K408" s="186">
        <v>0</v>
      </c>
      <c r="L408" s="186">
        <v>0</v>
      </c>
      <c r="M408" s="618" t="s">
        <v>24</v>
      </c>
      <c r="N408" s="588" t="s">
        <v>69</v>
      </c>
      <c r="O408" s="567">
        <v>0</v>
      </c>
      <c r="P408" s="186">
        <v>0</v>
      </c>
      <c r="Q408" s="186">
        <v>0</v>
      </c>
      <c r="R408" s="186">
        <v>0</v>
      </c>
      <c r="S408" s="186">
        <v>0</v>
      </c>
      <c r="T408" s="186">
        <v>2</v>
      </c>
      <c r="U408" s="186">
        <v>4</v>
      </c>
      <c r="V408" s="186">
        <v>4</v>
      </c>
      <c r="W408" s="186">
        <v>0</v>
      </c>
      <c r="X408" s="186">
        <v>0</v>
      </c>
      <c r="Y408" s="186">
        <v>0</v>
      </c>
      <c r="Z408" s="186">
        <v>0</v>
      </c>
      <c r="AA408" s="186">
        <v>0</v>
      </c>
      <c r="AB408" s="186">
        <v>0</v>
      </c>
      <c r="AC408" s="187">
        <v>39.4</v>
      </c>
      <c r="AD408" s="187" t="s">
        <v>24</v>
      </c>
      <c r="AE408" s="186">
        <v>0</v>
      </c>
      <c r="AF408" s="187">
        <v>0</v>
      </c>
      <c r="AG408" s="186">
        <v>0</v>
      </c>
      <c r="AH408" s="187">
        <v>0</v>
      </c>
      <c r="AI408" s="186">
        <v>0</v>
      </c>
      <c r="AJ408" s="647">
        <v>0</v>
      </c>
    </row>
    <row r="409" spans="1:36" x14ac:dyDescent="0.2">
      <c r="A409" s="440" t="s">
        <v>115</v>
      </c>
      <c r="B409" s="642">
        <v>14</v>
      </c>
      <c r="C409" s="184">
        <v>1</v>
      </c>
      <c r="D409" s="184">
        <v>13</v>
      </c>
      <c r="E409" s="184">
        <v>0</v>
      </c>
      <c r="F409" s="184">
        <v>0</v>
      </c>
      <c r="G409" s="184">
        <v>0</v>
      </c>
      <c r="H409" s="184">
        <v>0</v>
      </c>
      <c r="I409" s="184">
        <v>0</v>
      </c>
      <c r="J409" s="184">
        <v>0</v>
      </c>
      <c r="K409" s="184">
        <v>0</v>
      </c>
      <c r="L409" s="184">
        <v>0</v>
      </c>
      <c r="M409" s="616" t="s">
        <v>24</v>
      </c>
      <c r="N409" s="588" t="s">
        <v>115</v>
      </c>
      <c r="O409" s="191">
        <v>0</v>
      </c>
      <c r="P409" s="184">
        <v>1</v>
      </c>
      <c r="Q409" s="184">
        <v>0</v>
      </c>
      <c r="R409" s="184">
        <v>0</v>
      </c>
      <c r="S409" s="184">
        <v>1</v>
      </c>
      <c r="T409" s="184">
        <v>2</v>
      </c>
      <c r="U409" s="184">
        <v>3</v>
      </c>
      <c r="V409" s="184">
        <v>2</v>
      </c>
      <c r="W409" s="184">
        <v>3</v>
      </c>
      <c r="X409" s="184">
        <v>1</v>
      </c>
      <c r="Y409" s="184">
        <v>0</v>
      </c>
      <c r="Z409" s="184">
        <v>1</v>
      </c>
      <c r="AA409" s="184">
        <v>0</v>
      </c>
      <c r="AB409" s="184">
        <v>0</v>
      </c>
      <c r="AC409" s="185">
        <v>41.2</v>
      </c>
      <c r="AD409" s="185">
        <v>50.3</v>
      </c>
      <c r="AE409" s="184">
        <v>1</v>
      </c>
      <c r="AF409" s="185">
        <v>7.1428571428571423</v>
      </c>
      <c r="AG409" s="184">
        <v>1</v>
      </c>
      <c r="AH409" s="185">
        <v>7.1428571428571423</v>
      </c>
      <c r="AI409" s="184">
        <v>1</v>
      </c>
      <c r="AJ409" s="643">
        <v>7.1428571428571423</v>
      </c>
    </row>
    <row r="410" spans="1:36" x14ac:dyDescent="0.2">
      <c r="A410" s="440" t="s">
        <v>116</v>
      </c>
      <c r="B410" s="642">
        <v>11</v>
      </c>
      <c r="C410" s="184">
        <v>1</v>
      </c>
      <c r="D410" s="184">
        <v>8</v>
      </c>
      <c r="E410" s="184">
        <v>0</v>
      </c>
      <c r="F410" s="184">
        <v>2</v>
      </c>
      <c r="G410" s="184">
        <v>0</v>
      </c>
      <c r="H410" s="184">
        <v>0</v>
      </c>
      <c r="I410" s="184">
        <v>0</v>
      </c>
      <c r="J410" s="184">
        <v>0</v>
      </c>
      <c r="K410" s="184">
        <v>0</v>
      </c>
      <c r="L410" s="184">
        <v>0</v>
      </c>
      <c r="M410" s="616" t="s">
        <v>24</v>
      </c>
      <c r="N410" s="588" t="s">
        <v>116</v>
      </c>
      <c r="O410" s="191">
        <v>0</v>
      </c>
      <c r="P410" s="184">
        <v>0</v>
      </c>
      <c r="Q410" s="184">
        <v>1</v>
      </c>
      <c r="R410" s="184">
        <v>0</v>
      </c>
      <c r="S410" s="184">
        <v>0</v>
      </c>
      <c r="T410" s="184">
        <v>0</v>
      </c>
      <c r="U410" s="184">
        <v>3</v>
      </c>
      <c r="V410" s="184">
        <v>4</v>
      </c>
      <c r="W410" s="184">
        <v>2</v>
      </c>
      <c r="X410" s="184">
        <v>1</v>
      </c>
      <c r="Y410" s="184">
        <v>0</v>
      </c>
      <c r="Z410" s="184">
        <v>0</v>
      </c>
      <c r="AA410" s="184">
        <v>0</v>
      </c>
      <c r="AB410" s="184">
        <v>0</v>
      </c>
      <c r="AC410" s="185">
        <v>40.9</v>
      </c>
      <c r="AD410" s="185">
        <v>49.6</v>
      </c>
      <c r="AE410" s="184">
        <v>0</v>
      </c>
      <c r="AF410" s="185">
        <v>0</v>
      </c>
      <c r="AG410" s="184">
        <v>0</v>
      </c>
      <c r="AH410" s="185">
        <v>0</v>
      </c>
      <c r="AI410" s="184">
        <v>0</v>
      </c>
      <c r="AJ410" s="643">
        <v>0</v>
      </c>
    </row>
    <row r="411" spans="1:36" ht="13.5" thickBot="1" x14ac:dyDescent="0.25">
      <c r="A411" s="440" t="s">
        <v>117</v>
      </c>
      <c r="B411" s="644">
        <v>7</v>
      </c>
      <c r="C411" s="188">
        <v>1</v>
      </c>
      <c r="D411" s="188">
        <v>6</v>
      </c>
      <c r="E411" s="188">
        <v>0</v>
      </c>
      <c r="F411" s="188">
        <v>0</v>
      </c>
      <c r="G411" s="188">
        <v>0</v>
      </c>
      <c r="H411" s="188">
        <v>0</v>
      </c>
      <c r="I411" s="188">
        <v>0</v>
      </c>
      <c r="J411" s="188">
        <v>0</v>
      </c>
      <c r="K411" s="188">
        <v>0</v>
      </c>
      <c r="L411" s="188">
        <v>0</v>
      </c>
      <c r="M411" s="617" t="s">
        <v>24</v>
      </c>
      <c r="N411" s="588" t="s">
        <v>117</v>
      </c>
      <c r="O411" s="619">
        <v>0</v>
      </c>
      <c r="P411" s="188">
        <v>1</v>
      </c>
      <c r="Q411" s="188">
        <v>0</v>
      </c>
      <c r="R411" s="188">
        <v>1</v>
      </c>
      <c r="S411" s="188">
        <v>0</v>
      </c>
      <c r="T411" s="188">
        <v>1</v>
      </c>
      <c r="U411" s="188">
        <v>2</v>
      </c>
      <c r="V411" s="188">
        <v>1</v>
      </c>
      <c r="W411" s="188">
        <v>1</v>
      </c>
      <c r="X411" s="188">
        <v>0</v>
      </c>
      <c r="Y411" s="188">
        <v>0</v>
      </c>
      <c r="Z411" s="188">
        <v>0</v>
      </c>
      <c r="AA411" s="188">
        <v>0</v>
      </c>
      <c r="AB411" s="188">
        <v>0</v>
      </c>
      <c r="AC411" s="189">
        <v>33.6</v>
      </c>
      <c r="AD411" s="189" t="s">
        <v>24</v>
      </c>
      <c r="AE411" s="188">
        <v>0</v>
      </c>
      <c r="AF411" s="189">
        <v>0</v>
      </c>
      <c r="AG411" s="188">
        <v>0</v>
      </c>
      <c r="AH411" s="189">
        <v>0</v>
      </c>
      <c r="AI411" s="188">
        <v>0</v>
      </c>
      <c r="AJ411" s="645">
        <v>0</v>
      </c>
    </row>
    <row r="412" spans="1:36" x14ac:dyDescent="0.2">
      <c r="A412" s="440" t="s">
        <v>71</v>
      </c>
      <c r="B412" s="642">
        <v>12</v>
      </c>
      <c r="C412" s="184">
        <v>0</v>
      </c>
      <c r="D412" s="184">
        <v>12</v>
      </c>
      <c r="E412" s="184">
        <v>0</v>
      </c>
      <c r="F412" s="184">
        <v>0</v>
      </c>
      <c r="G412" s="184">
        <v>0</v>
      </c>
      <c r="H412" s="184">
        <v>0</v>
      </c>
      <c r="I412" s="184">
        <v>0</v>
      </c>
      <c r="J412" s="184">
        <v>0</v>
      </c>
      <c r="K412" s="184">
        <v>0</v>
      </c>
      <c r="L412" s="184">
        <v>0</v>
      </c>
      <c r="M412" s="616" t="s">
        <v>24</v>
      </c>
      <c r="N412" s="588" t="s">
        <v>71</v>
      </c>
      <c r="O412" s="191">
        <v>0</v>
      </c>
      <c r="P412" s="184">
        <v>0</v>
      </c>
      <c r="Q412" s="184">
        <v>0</v>
      </c>
      <c r="R412" s="184">
        <v>0</v>
      </c>
      <c r="S412" s="184">
        <v>0</v>
      </c>
      <c r="T412" s="184">
        <v>1</v>
      </c>
      <c r="U412" s="184">
        <v>4</v>
      </c>
      <c r="V412" s="184">
        <v>1</v>
      </c>
      <c r="W412" s="184">
        <v>5</v>
      </c>
      <c r="X412" s="184">
        <v>1</v>
      </c>
      <c r="Y412" s="184">
        <v>0</v>
      </c>
      <c r="Z412" s="184">
        <v>0</v>
      </c>
      <c r="AA412" s="184">
        <v>0</v>
      </c>
      <c r="AB412" s="184">
        <v>0</v>
      </c>
      <c r="AC412" s="185">
        <v>42.6</v>
      </c>
      <c r="AD412" s="185">
        <v>49.9</v>
      </c>
      <c r="AE412" s="184">
        <v>0</v>
      </c>
      <c r="AF412" s="185">
        <v>0</v>
      </c>
      <c r="AG412" s="184">
        <v>0</v>
      </c>
      <c r="AH412" s="185">
        <v>0</v>
      </c>
      <c r="AI412" s="184">
        <v>0</v>
      </c>
      <c r="AJ412" s="643">
        <v>0</v>
      </c>
    </row>
    <row r="413" spans="1:36" x14ac:dyDescent="0.2">
      <c r="A413" s="440" t="s">
        <v>118</v>
      </c>
      <c r="B413" s="642">
        <v>7</v>
      </c>
      <c r="C413" s="184">
        <v>0</v>
      </c>
      <c r="D413" s="184">
        <v>7</v>
      </c>
      <c r="E413" s="184">
        <v>0</v>
      </c>
      <c r="F413" s="184">
        <v>0</v>
      </c>
      <c r="G413" s="184">
        <v>0</v>
      </c>
      <c r="H413" s="184">
        <v>0</v>
      </c>
      <c r="I413" s="184">
        <v>0</v>
      </c>
      <c r="J413" s="184">
        <v>0</v>
      </c>
      <c r="K413" s="184">
        <v>0</v>
      </c>
      <c r="L413" s="184">
        <v>0</v>
      </c>
      <c r="M413" s="616" t="s">
        <v>24</v>
      </c>
      <c r="N413" s="588" t="s">
        <v>118</v>
      </c>
      <c r="O413" s="191">
        <v>0</v>
      </c>
      <c r="P413" s="184">
        <v>0</v>
      </c>
      <c r="Q413" s="184">
        <v>0</v>
      </c>
      <c r="R413" s="184">
        <v>0</v>
      </c>
      <c r="S413" s="184">
        <v>0</v>
      </c>
      <c r="T413" s="184">
        <v>1</v>
      </c>
      <c r="U413" s="184">
        <v>1</v>
      </c>
      <c r="V413" s="184">
        <v>3</v>
      </c>
      <c r="W413" s="184">
        <v>1</v>
      </c>
      <c r="X413" s="184">
        <v>1</v>
      </c>
      <c r="Y413" s="184">
        <v>0</v>
      </c>
      <c r="Z413" s="184">
        <v>0</v>
      </c>
      <c r="AA413" s="184">
        <v>0</v>
      </c>
      <c r="AB413" s="184">
        <v>0</v>
      </c>
      <c r="AC413" s="185">
        <v>42.7</v>
      </c>
      <c r="AD413" s="185" t="s">
        <v>24</v>
      </c>
      <c r="AE413" s="184">
        <v>0</v>
      </c>
      <c r="AF413" s="185">
        <v>0</v>
      </c>
      <c r="AG413" s="184">
        <v>0</v>
      </c>
      <c r="AH413" s="185">
        <v>0</v>
      </c>
      <c r="AI413" s="184">
        <v>0</v>
      </c>
      <c r="AJ413" s="643">
        <v>0</v>
      </c>
    </row>
    <row r="414" spans="1:36" x14ac:dyDescent="0.2">
      <c r="A414" s="440" t="s">
        <v>119</v>
      </c>
      <c r="B414" s="642">
        <v>9</v>
      </c>
      <c r="C414" s="184">
        <v>0</v>
      </c>
      <c r="D414" s="184">
        <v>8</v>
      </c>
      <c r="E414" s="184">
        <v>0</v>
      </c>
      <c r="F414" s="184">
        <v>1</v>
      </c>
      <c r="G414" s="184">
        <v>0</v>
      </c>
      <c r="H414" s="184">
        <v>0</v>
      </c>
      <c r="I414" s="184">
        <v>0</v>
      </c>
      <c r="J414" s="184">
        <v>0</v>
      </c>
      <c r="K414" s="184">
        <v>0</v>
      </c>
      <c r="L414" s="184">
        <v>0</v>
      </c>
      <c r="M414" s="616" t="s">
        <v>24</v>
      </c>
      <c r="N414" s="588" t="s">
        <v>119</v>
      </c>
      <c r="O414" s="191">
        <v>0</v>
      </c>
      <c r="P414" s="184">
        <v>0</v>
      </c>
      <c r="Q414" s="184">
        <v>0</v>
      </c>
      <c r="R414" s="184">
        <v>0</v>
      </c>
      <c r="S414" s="184">
        <v>0</v>
      </c>
      <c r="T414" s="184">
        <v>0</v>
      </c>
      <c r="U414" s="184">
        <v>4</v>
      </c>
      <c r="V414" s="184">
        <v>0</v>
      </c>
      <c r="W414" s="184">
        <v>4</v>
      </c>
      <c r="X414" s="184">
        <v>1</v>
      </c>
      <c r="Y414" s="184">
        <v>0</v>
      </c>
      <c r="Z414" s="184">
        <v>0</v>
      </c>
      <c r="AA414" s="184">
        <v>0</v>
      </c>
      <c r="AB414" s="184">
        <v>0</v>
      </c>
      <c r="AC414" s="185">
        <v>43.3</v>
      </c>
      <c r="AD414" s="185" t="s">
        <v>24</v>
      </c>
      <c r="AE414" s="184">
        <v>0</v>
      </c>
      <c r="AF414" s="185">
        <v>0</v>
      </c>
      <c r="AG414" s="184">
        <v>0</v>
      </c>
      <c r="AH414" s="185">
        <v>0</v>
      </c>
      <c r="AI414" s="184">
        <v>0</v>
      </c>
      <c r="AJ414" s="643">
        <v>0</v>
      </c>
    </row>
    <row r="415" spans="1:36" x14ac:dyDescent="0.2">
      <c r="A415" s="440" t="s">
        <v>120</v>
      </c>
      <c r="B415" s="642">
        <v>4</v>
      </c>
      <c r="C415" s="184">
        <v>0</v>
      </c>
      <c r="D415" s="184">
        <v>4</v>
      </c>
      <c r="E415" s="184">
        <v>0</v>
      </c>
      <c r="F415" s="184">
        <v>0</v>
      </c>
      <c r="G415" s="184">
        <v>0</v>
      </c>
      <c r="H415" s="184">
        <v>0</v>
      </c>
      <c r="I415" s="184">
        <v>0</v>
      </c>
      <c r="J415" s="184">
        <v>0</v>
      </c>
      <c r="K415" s="184">
        <v>0</v>
      </c>
      <c r="L415" s="184">
        <v>0</v>
      </c>
      <c r="M415" s="616" t="s">
        <v>24</v>
      </c>
      <c r="N415" s="588" t="s">
        <v>120</v>
      </c>
      <c r="O415" s="191">
        <v>0</v>
      </c>
      <c r="P415" s="184">
        <v>0</v>
      </c>
      <c r="Q415" s="184">
        <v>0</v>
      </c>
      <c r="R415" s="184">
        <v>0</v>
      </c>
      <c r="S415" s="184">
        <v>0</v>
      </c>
      <c r="T415" s="184">
        <v>1</v>
      </c>
      <c r="U415" s="184">
        <v>2</v>
      </c>
      <c r="V415" s="184">
        <v>0</v>
      </c>
      <c r="W415" s="184">
        <v>0</v>
      </c>
      <c r="X415" s="184">
        <v>1</v>
      </c>
      <c r="Y415" s="184">
        <v>0</v>
      </c>
      <c r="Z415" s="184">
        <v>0</v>
      </c>
      <c r="AA415" s="184">
        <v>0</v>
      </c>
      <c r="AB415" s="184">
        <v>0</v>
      </c>
      <c r="AC415" s="185">
        <v>41.6</v>
      </c>
      <c r="AD415" s="185" t="s">
        <v>24</v>
      </c>
      <c r="AE415" s="184">
        <v>0</v>
      </c>
      <c r="AF415" s="185">
        <v>0</v>
      </c>
      <c r="AG415" s="184">
        <v>0</v>
      </c>
      <c r="AH415" s="185">
        <v>0</v>
      </c>
      <c r="AI415" s="184">
        <v>0</v>
      </c>
      <c r="AJ415" s="643">
        <v>0</v>
      </c>
    </row>
    <row r="416" spans="1:36" x14ac:dyDescent="0.2">
      <c r="A416" s="440" t="s">
        <v>72</v>
      </c>
      <c r="B416" s="642">
        <v>7</v>
      </c>
      <c r="C416" s="184">
        <v>0</v>
      </c>
      <c r="D416" s="184">
        <v>7</v>
      </c>
      <c r="E416" s="184">
        <v>0</v>
      </c>
      <c r="F416" s="184">
        <v>0</v>
      </c>
      <c r="G416" s="184">
        <v>0</v>
      </c>
      <c r="H416" s="184">
        <v>0</v>
      </c>
      <c r="I416" s="184">
        <v>0</v>
      </c>
      <c r="J416" s="184">
        <v>0</v>
      </c>
      <c r="K416" s="184">
        <v>0</v>
      </c>
      <c r="L416" s="184">
        <v>0</v>
      </c>
      <c r="M416" s="616" t="s">
        <v>24</v>
      </c>
      <c r="N416" s="588" t="s">
        <v>72</v>
      </c>
      <c r="O416" s="191">
        <v>0</v>
      </c>
      <c r="P416" s="184">
        <v>0</v>
      </c>
      <c r="Q416" s="184">
        <v>0</v>
      </c>
      <c r="R416" s="184">
        <v>0</v>
      </c>
      <c r="S416" s="184">
        <v>0</v>
      </c>
      <c r="T416" s="184">
        <v>0</v>
      </c>
      <c r="U416" s="184">
        <v>0</v>
      </c>
      <c r="V416" s="184">
        <v>4</v>
      </c>
      <c r="W416" s="184">
        <v>2</v>
      </c>
      <c r="X416" s="184">
        <v>1</v>
      </c>
      <c r="Y416" s="184">
        <v>0</v>
      </c>
      <c r="Z416" s="184">
        <v>0</v>
      </c>
      <c r="AA416" s="184">
        <v>0</v>
      </c>
      <c r="AB416" s="184">
        <v>0</v>
      </c>
      <c r="AC416" s="185">
        <v>45.3</v>
      </c>
      <c r="AD416" s="185" t="s">
        <v>24</v>
      </c>
      <c r="AE416" s="184">
        <v>0</v>
      </c>
      <c r="AF416" s="185">
        <v>0</v>
      </c>
      <c r="AG416" s="184">
        <v>0</v>
      </c>
      <c r="AH416" s="185">
        <v>0</v>
      </c>
      <c r="AI416" s="184">
        <v>0</v>
      </c>
      <c r="AJ416" s="643">
        <v>0</v>
      </c>
    </row>
    <row r="417" spans="1:36" x14ac:dyDescent="0.2">
      <c r="A417" s="440" t="s">
        <v>121</v>
      </c>
      <c r="B417" s="642">
        <v>8</v>
      </c>
      <c r="C417" s="184">
        <v>0</v>
      </c>
      <c r="D417" s="184">
        <v>7</v>
      </c>
      <c r="E417" s="184">
        <v>0</v>
      </c>
      <c r="F417" s="184">
        <v>1</v>
      </c>
      <c r="G417" s="184">
        <v>0</v>
      </c>
      <c r="H417" s="184">
        <v>0</v>
      </c>
      <c r="I417" s="184">
        <v>0</v>
      </c>
      <c r="J417" s="184">
        <v>0</v>
      </c>
      <c r="K417" s="184">
        <v>0</v>
      </c>
      <c r="L417" s="184">
        <v>0</v>
      </c>
      <c r="M417" s="616" t="s">
        <v>24</v>
      </c>
      <c r="N417" s="588" t="s">
        <v>121</v>
      </c>
      <c r="O417" s="191">
        <v>0</v>
      </c>
      <c r="P417" s="184">
        <v>0</v>
      </c>
      <c r="Q417" s="184">
        <v>0</v>
      </c>
      <c r="R417" s="184">
        <v>0</v>
      </c>
      <c r="S417" s="184">
        <v>0</v>
      </c>
      <c r="T417" s="184">
        <v>2</v>
      </c>
      <c r="U417" s="184">
        <v>1</v>
      </c>
      <c r="V417" s="184">
        <v>2</v>
      </c>
      <c r="W417" s="184">
        <v>2</v>
      </c>
      <c r="X417" s="184">
        <v>0</v>
      </c>
      <c r="Y417" s="184">
        <v>1</v>
      </c>
      <c r="Z417" s="184">
        <v>0</v>
      </c>
      <c r="AA417" s="184">
        <v>0</v>
      </c>
      <c r="AB417" s="184">
        <v>0</v>
      </c>
      <c r="AC417" s="185">
        <v>43.4</v>
      </c>
      <c r="AD417" s="185" t="s">
        <v>24</v>
      </c>
      <c r="AE417" s="184">
        <v>1</v>
      </c>
      <c r="AF417" s="185">
        <v>12.5</v>
      </c>
      <c r="AG417" s="184">
        <v>0</v>
      </c>
      <c r="AH417" s="185">
        <v>0</v>
      </c>
      <c r="AI417" s="184">
        <v>0</v>
      </c>
      <c r="AJ417" s="643">
        <v>0</v>
      </c>
    </row>
    <row r="418" spans="1:36" x14ac:dyDescent="0.2">
      <c r="A418" s="440" t="s">
        <v>122</v>
      </c>
      <c r="B418" s="642">
        <v>4</v>
      </c>
      <c r="C418" s="184">
        <v>0</v>
      </c>
      <c r="D418" s="184">
        <v>4</v>
      </c>
      <c r="E418" s="184">
        <v>0</v>
      </c>
      <c r="F418" s="184">
        <v>0</v>
      </c>
      <c r="G418" s="184">
        <v>0</v>
      </c>
      <c r="H418" s="184">
        <v>0</v>
      </c>
      <c r="I418" s="184">
        <v>0</v>
      </c>
      <c r="J418" s="184">
        <v>0</v>
      </c>
      <c r="K418" s="184">
        <v>0</v>
      </c>
      <c r="L418" s="184">
        <v>0</v>
      </c>
      <c r="M418" s="616" t="s">
        <v>24</v>
      </c>
      <c r="N418" s="588" t="s">
        <v>122</v>
      </c>
      <c r="O418" s="191">
        <v>0</v>
      </c>
      <c r="P418" s="184">
        <v>0</v>
      </c>
      <c r="Q418" s="184">
        <v>0</v>
      </c>
      <c r="R418" s="184">
        <v>0</v>
      </c>
      <c r="S418" s="184">
        <v>1</v>
      </c>
      <c r="T418" s="184">
        <v>1</v>
      </c>
      <c r="U418" s="184">
        <v>1</v>
      </c>
      <c r="V418" s="184">
        <v>0</v>
      </c>
      <c r="W418" s="184">
        <v>1</v>
      </c>
      <c r="X418" s="184">
        <v>0</v>
      </c>
      <c r="Y418" s="184">
        <v>0</v>
      </c>
      <c r="Z418" s="184">
        <v>0</v>
      </c>
      <c r="AA418" s="184">
        <v>0</v>
      </c>
      <c r="AB418" s="184">
        <v>0</v>
      </c>
      <c r="AC418" s="185">
        <v>38.200000000000003</v>
      </c>
      <c r="AD418" s="185" t="s">
        <v>24</v>
      </c>
      <c r="AE418" s="184">
        <v>0</v>
      </c>
      <c r="AF418" s="185">
        <v>0</v>
      </c>
      <c r="AG418" s="184">
        <v>0</v>
      </c>
      <c r="AH418" s="185">
        <v>0</v>
      </c>
      <c r="AI418" s="184">
        <v>0</v>
      </c>
      <c r="AJ418" s="643">
        <v>0</v>
      </c>
    </row>
    <row r="419" spans="1:36" x14ac:dyDescent="0.2">
      <c r="A419" s="440" t="s">
        <v>123</v>
      </c>
      <c r="B419" s="642">
        <v>4</v>
      </c>
      <c r="C419" s="184">
        <v>0</v>
      </c>
      <c r="D419" s="184">
        <v>2</v>
      </c>
      <c r="E419" s="184">
        <v>0</v>
      </c>
      <c r="F419" s="184">
        <v>2</v>
      </c>
      <c r="G419" s="184">
        <v>0</v>
      </c>
      <c r="H419" s="184">
        <v>0</v>
      </c>
      <c r="I419" s="184">
        <v>0</v>
      </c>
      <c r="J419" s="184">
        <v>0</v>
      </c>
      <c r="K419" s="184">
        <v>0</v>
      </c>
      <c r="L419" s="184">
        <v>0</v>
      </c>
      <c r="M419" s="616" t="s">
        <v>24</v>
      </c>
      <c r="N419" s="588" t="s">
        <v>123</v>
      </c>
      <c r="O419" s="191">
        <v>0</v>
      </c>
      <c r="P419" s="184">
        <v>0</v>
      </c>
      <c r="Q419" s="184">
        <v>0</v>
      </c>
      <c r="R419" s="184">
        <v>0</v>
      </c>
      <c r="S419" s="184">
        <v>0</v>
      </c>
      <c r="T419" s="184">
        <v>0</v>
      </c>
      <c r="U419" s="184">
        <v>2</v>
      </c>
      <c r="V419" s="184">
        <v>0</v>
      </c>
      <c r="W419" s="184">
        <v>2</v>
      </c>
      <c r="X419" s="184">
        <v>0</v>
      </c>
      <c r="Y419" s="184">
        <v>0</v>
      </c>
      <c r="Z419" s="184">
        <v>0</v>
      </c>
      <c r="AA419" s="184">
        <v>0</v>
      </c>
      <c r="AB419" s="184">
        <v>0</v>
      </c>
      <c r="AC419" s="185">
        <v>43</v>
      </c>
      <c r="AD419" s="185" t="s">
        <v>24</v>
      </c>
      <c r="AE419" s="184">
        <v>0</v>
      </c>
      <c r="AF419" s="185">
        <v>0</v>
      </c>
      <c r="AG419" s="184">
        <v>0</v>
      </c>
      <c r="AH419" s="185">
        <v>0</v>
      </c>
      <c r="AI419" s="184">
        <v>0</v>
      </c>
      <c r="AJ419" s="643">
        <v>0</v>
      </c>
    </row>
    <row r="420" spans="1:36" x14ac:dyDescent="0.2">
      <c r="A420" s="440" t="s">
        <v>74</v>
      </c>
      <c r="B420" s="642">
        <v>3</v>
      </c>
      <c r="C420" s="184">
        <v>0</v>
      </c>
      <c r="D420" s="184">
        <v>3</v>
      </c>
      <c r="E420" s="184">
        <v>0</v>
      </c>
      <c r="F420" s="184">
        <v>0</v>
      </c>
      <c r="G420" s="184">
        <v>0</v>
      </c>
      <c r="H420" s="184">
        <v>0</v>
      </c>
      <c r="I420" s="184">
        <v>0</v>
      </c>
      <c r="J420" s="184">
        <v>0</v>
      </c>
      <c r="K420" s="184">
        <v>0</v>
      </c>
      <c r="L420" s="184">
        <v>0</v>
      </c>
      <c r="M420" s="616" t="s">
        <v>24</v>
      </c>
      <c r="N420" s="588" t="s">
        <v>74</v>
      </c>
      <c r="O420" s="191">
        <v>0</v>
      </c>
      <c r="P420" s="184">
        <v>0</v>
      </c>
      <c r="Q420" s="184">
        <v>0</v>
      </c>
      <c r="R420" s="184">
        <v>0</v>
      </c>
      <c r="S420" s="184">
        <v>0</v>
      </c>
      <c r="T420" s="184">
        <v>0</v>
      </c>
      <c r="U420" s="184">
        <v>0</v>
      </c>
      <c r="V420" s="184">
        <v>0</v>
      </c>
      <c r="W420" s="184">
        <v>2</v>
      </c>
      <c r="X420" s="184">
        <v>1</v>
      </c>
      <c r="Y420" s="184">
        <v>0</v>
      </c>
      <c r="Z420" s="184">
        <v>0</v>
      </c>
      <c r="AA420" s="184">
        <v>0</v>
      </c>
      <c r="AB420" s="184">
        <v>0</v>
      </c>
      <c r="AC420" s="185">
        <v>49</v>
      </c>
      <c r="AD420" s="185" t="s">
        <v>24</v>
      </c>
      <c r="AE420" s="184">
        <v>0</v>
      </c>
      <c r="AF420" s="185">
        <v>0</v>
      </c>
      <c r="AG420" s="184">
        <v>0</v>
      </c>
      <c r="AH420" s="185">
        <v>0</v>
      </c>
      <c r="AI420" s="184">
        <v>0</v>
      </c>
      <c r="AJ420" s="643">
        <v>0</v>
      </c>
    </row>
    <row r="421" spans="1:36" x14ac:dyDescent="0.2">
      <c r="A421" s="440" t="s">
        <v>124</v>
      </c>
      <c r="B421" s="642">
        <v>2</v>
      </c>
      <c r="C421" s="184">
        <v>0</v>
      </c>
      <c r="D421" s="184">
        <v>1</v>
      </c>
      <c r="E421" s="184">
        <v>0</v>
      </c>
      <c r="F421" s="184">
        <v>1</v>
      </c>
      <c r="G421" s="184">
        <v>0</v>
      </c>
      <c r="H421" s="184">
        <v>0</v>
      </c>
      <c r="I421" s="184">
        <v>0</v>
      </c>
      <c r="J421" s="184">
        <v>0</v>
      </c>
      <c r="K421" s="184">
        <v>0</v>
      </c>
      <c r="L421" s="184">
        <v>0</v>
      </c>
      <c r="M421" s="616" t="s">
        <v>24</v>
      </c>
      <c r="N421" s="588" t="s">
        <v>124</v>
      </c>
      <c r="O421" s="191">
        <v>0</v>
      </c>
      <c r="P421" s="184">
        <v>0</v>
      </c>
      <c r="Q421" s="184">
        <v>0</v>
      </c>
      <c r="R421" s="184">
        <v>0</v>
      </c>
      <c r="S421" s="184">
        <v>0</v>
      </c>
      <c r="T421" s="184">
        <v>0</v>
      </c>
      <c r="U421" s="184">
        <v>1</v>
      </c>
      <c r="V421" s="184">
        <v>1</v>
      </c>
      <c r="W421" s="184">
        <v>0</v>
      </c>
      <c r="X421" s="184">
        <v>0</v>
      </c>
      <c r="Y421" s="184">
        <v>0</v>
      </c>
      <c r="Z421" s="184">
        <v>0</v>
      </c>
      <c r="AA421" s="184">
        <v>0</v>
      </c>
      <c r="AB421" s="184">
        <v>0</v>
      </c>
      <c r="AC421" s="185">
        <v>40.5</v>
      </c>
      <c r="AD421" s="185" t="s">
        <v>24</v>
      </c>
      <c r="AE421" s="184">
        <v>0</v>
      </c>
      <c r="AF421" s="185">
        <v>0</v>
      </c>
      <c r="AG421" s="184">
        <v>0</v>
      </c>
      <c r="AH421" s="185">
        <v>0</v>
      </c>
      <c r="AI421" s="184">
        <v>0</v>
      </c>
      <c r="AJ421" s="643">
        <v>0</v>
      </c>
    </row>
    <row r="422" spans="1:36" x14ac:dyDescent="0.2">
      <c r="A422" s="440" t="s">
        <v>125</v>
      </c>
      <c r="B422" s="642">
        <v>3</v>
      </c>
      <c r="C422" s="184">
        <v>0</v>
      </c>
      <c r="D422" s="184">
        <v>2</v>
      </c>
      <c r="E422" s="184">
        <v>0</v>
      </c>
      <c r="F422" s="184">
        <v>1</v>
      </c>
      <c r="G422" s="184">
        <v>0</v>
      </c>
      <c r="H422" s="184">
        <v>0</v>
      </c>
      <c r="I422" s="184">
        <v>0</v>
      </c>
      <c r="J422" s="184">
        <v>0</v>
      </c>
      <c r="K422" s="184">
        <v>0</v>
      </c>
      <c r="L422" s="184">
        <v>0</v>
      </c>
      <c r="M422" s="616" t="s">
        <v>24</v>
      </c>
      <c r="N422" s="588" t="s">
        <v>125</v>
      </c>
      <c r="O422" s="191">
        <v>0</v>
      </c>
      <c r="P422" s="184">
        <v>0</v>
      </c>
      <c r="Q422" s="184">
        <v>0</v>
      </c>
      <c r="R422" s="184">
        <v>0</v>
      </c>
      <c r="S422" s="184">
        <v>0</v>
      </c>
      <c r="T422" s="184">
        <v>0</v>
      </c>
      <c r="U422" s="184">
        <v>2</v>
      </c>
      <c r="V422" s="184">
        <v>1</v>
      </c>
      <c r="W422" s="184">
        <v>0</v>
      </c>
      <c r="X422" s="184">
        <v>0</v>
      </c>
      <c r="Y422" s="184">
        <v>0</v>
      </c>
      <c r="Z422" s="184">
        <v>0</v>
      </c>
      <c r="AA422" s="184">
        <v>0</v>
      </c>
      <c r="AB422" s="184">
        <v>0</v>
      </c>
      <c r="AC422" s="185">
        <v>39.9</v>
      </c>
      <c r="AD422" s="185" t="s">
        <v>24</v>
      </c>
      <c r="AE422" s="184">
        <v>0</v>
      </c>
      <c r="AF422" s="185">
        <v>0</v>
      </c>
      <c r="AG422" s="184">
        <v>0</v>
      </c>
      <c r="AH422" s="185">
        <v>0</v>
      </c>
      <c r="AI422" s="184">
        <v>0</v>
      </c>
      <c r="AJ422" s="643">
        <v>0</v>
      </c>
    </row>
    <row r="423" spans="1:36" x14ac:dyDescent="0.2">
      <c r="A423" s="440" t="s">
        <v>126</v>
      </c>
      <c r="B423" s="642">
        <v>4</v>
      </c>
      <c r="C423" s="184">
        <v>0</v>
      </c>
      <c r="D423" s="184">
        <v>4</v>
      </c>
      <c r="E423" s="184">
        <v>0</v>
      </c>
      <c r="F423" s="184">
        <v>0</v>
      </c>
      <c r="G423" s="184">
        <v>0</v>
      </c>
      <c r="H423" s="184">
        <v>0</v>
      </c>
      <c r="I423" s="184">
        <v>0</v>
      </c>
      <c r="J423" s="184">
        <v>0</v>
      </c>
      <c r="K423" s="184">
        <v>0</v>
      </c>
      <c r="L423" s="184">
        <v>0</v>
      </c>
      <c r="M423" s="616" t="s">
        <v>24</v>
      </c>
      <c r="N423" s="588" t="s">
        <v>126</v>
      </c>
      <c r="O423" s="191">
        <v>0</v>
      </c>
      <c r="P423" s="184">
        <v>0</v>
      </c>
      <c r="Q423" s="184">
        <v>0</v>
      </c>
      <c r="R423" s="184">
        <v>0</v>
      </c>
      <c r="S423" s="184">
        <v>0</v>
      </c>
      <c r="T423" s="184">
        <v>0</v>
      </c>
      <c r="U423" s="184">
        <v>2</v>
      </c>
      <c r="V423" s="184">
        <v>1</v>
      </c>
      <c r="W423" s="184">
        <v>1</v>
      </c>
      <c r="X423" s="184">
        <v>0</v>
      </c>
      <c r="Y423" s="184">
        <v>0</v>
      </c>
      <c r="Z423" s="184">
        <v>0</v>
      </c>
      <c r="AA423" s="184">
        <v>0</v>
      </c>
      <c r="AB423" s="184">
        <v>0</v>
      </c>
      <c r="AC423" s="185">
        <v>40.200000000000003</v>
      </c>
      <c r="AD423" s="185" t="s">
        <v>24</v>
      </c>
      <c r="AE423" s="184">
        <v>0</v>
      </c>
      <c r="AF423" s="185">
        <v>0</v>
      </c>
      <c r="AG423" s="184">
        <v>0</v>
      </c>
      <c r="AH423" s="185">
        <v>0</v>
      </c>
      <c r="AI423" s="184">
        <v>0</v>
      </c>
      <c r="AJ423" s="643">
        <v>0</v>
      </c>
    </row>
    <row r="424" spans="1:36" x14ac:dyDescent="0.2">
      <c r="A424" s="440" t="s">
        <v>76</v>
      </c>
      <c r="B424" s="642">
        <v>2</v>
      </c>
      <c r="C424" s="184">
        <v>0</v>
      </c>
      <c r="D424" s="184">
        <v>2</v>
      </c>
      <c r="E424" s="184">
        <v>0</v>
      </c>
      <c r="F424" s="184">
        <v>0</v>
      </c>
      <c r="G424" s="184">
        <v>0</v>
      </c>
      <c r="H424" s="184">
        <v>0</v>
      </c>
      <c r="I424" s="184">
        <v>0</v>
      </c>
      <c r="J424" s="184">
        <v>0</v>
      </c>
      <c r="K424" s="184">
        <v>0</v>
      </c>
      <c r="L424" s="184">
        <v>0</v>
      </c>
      <c r="M424" s="616" t="s">
        <v>24</v>
      </c>
      <c r="N424" s="588" t="s">
        <v>76</v>
      </c>
      <c r="O424" s="191">
        <v>0</v>
      </c>
      <c r="P424" s="184">
        <v>0</v>
      </c>
      <c r="Q424" s="184">
        <v>0</v>
      </c>
      <c r="R424" s="184">
        <v>0</v>
      </c>
      <c r="S424" s="184">
        <v>0</v>
      </c>
      <c r="T424" s="184">
        <v>0</v>
      </c>
      <c r="U424" s="184">
        <v>0</v>
      </c>
      <c r="V424" s="184">
        <v>1</v>
      </c>
      <c r="W424" s="184">
        <v>1</v>
      </c>
      <c r="X424" s="184">
        <v>0</v>
      </c>
      <c r="Y424" s="184">
        <v>0</v>
      </c>
      <c r="Z424" s="184">
        <v>0</v>
      </c>
      <c r="AA424" s="184">
        <v>0</v>
      </c>
      <c r="AB424" s="184">
        <v>0</v>
      </c>
      <c r="AC424" s="185">
        <v>43.6</v>
      </c>
      <c r="AD424" s="185" t="s">
        <v>24</v>
      </c>
      <c r="AE424" s="184">
        <v>0</v>
      </c>
      <c r="AF424" s="185">
        <v>0</v>
      </c>
      <c r="AG424" s="184">
        <v>0</v>
      </c>
      <c r="AH424" s="185">
        <v>0</v>
      </c>
      <c r="AI424" s="184">
        <v>0</v>
      </c>
      <c r="AJ424" s="643">
        <v>0</v>
      </c>
    </row>
    <row r="425" spans="1:36" x14ac:dyDescent="0.2">
      <c r="A425" s="440" t="s">
        <v>127</v>
      </c>
      <c r="B425" s="642">
        <v>2</v>
      </c>
      <c r="C425" s="184">
        <v>0</v>
      </c>
      <c r="D425" s="184">
        <v>2</v>
      </c>
      <c r="E425" s="184">
        <v>0</v>
      </c>
      <c r="F425" s="184">
        <v>0</v>
      </c>
      <c r="G425" s="184">
        <v>0</v>
      </c>
      <c r="H425" s="184">
        <v>0</v>
      </c>
      <c r="I425" s="184">
        <v>0</v>
      </c>
      <c r="J425" s="184">
        <v>0</v>
      </c>
      <c r="K425" s="184">
        <v>0</v>
      </c>
      <c r="L425" s="184">
        <v>0</v>
      </c>
      <c r="M425" s="616" t="s">
        <v>24</v>
      </c>
      <c r="N425" s="588" t="s">
        <v>127</v>
      </c>
      <c r="O425" s="191">
        <v>0</v>
      </c>
      <c r="P425" s="184">
        <v>0</v>
      </c>
      <c r="Q425" s="184">
        <v>0</v>
      </c>
      <c r="R425" s="184">
        <v>0</v>
      </c>
      <c r="S425" s="184">
        <v>0</v>
      </c>
      <c r="T425" s="184">
        <v>0</v>
      </c>
      <c r="U425" s="184">
        <v>0</v>
      </c>
      <c r="V425" s="184">
        <v>2</v>
      </c>
      <c r="W425" s="184">
        <v>0</v>
      </c>
      <c r="X425" s="184">
        <v>0</v>
      </c>
      <c r="Y425" s="184">
        <v>0</v>
      </c>
      <c r="Z425" s="184">
        <v>0</v>
      </c>
      <c r="AA425" s="184">
        <v>0</v>
      </c>
      <c r="AB425" s="184">
        <v>0</v>
      </c>
      <c r="AC425" s="185">
        <v>41.9</v>
      </c>
      <c r="AD425" s="185" t="s">
        <v>24</v>
      </c>
      <c r="AE425" s="184">
        <v>0</v>
      </c>
      <c r="AF425" s="185">
        <v>0</v>
      </c>
      <c r="AG425" s="184">
        <v>0</v>
      </c>
      <c r="AH425" s="185">
        <v>0</v>
      </c>
      <c r="AI425" s="184">
        <v>0</v>
      </c>
      <c r="AJ425" s="643">
        <v>0</v>
      </c>
    </row>
    <row r="426" spans="1:36" x14ac:dyDescent="0.2">
      <c r="A426" s="440" t="s">
        <v>128</v>
      </c>
      <c r="B426" s="642">
        <v>0</v>
      </c>
      <c r="C426" s="184">
        <v>0</v>
      </c>
      <c r="D426" s="184">
        <v>0</v>
      </c>
      <c r="E426" s="184">
        <v>0</v>
      </c>
      <c r="F426" s="184">
        <v>0</v>
      </c>
      <c r="G426" s="184">
        <v>0</v>
      </c>
      <c r="H426" s="184">
        <v>0</v>
      </c>
      <c r="I426" s="184">
        <v>0</v>
      </c>
      <c r="J426" s="184">
        <v>0</v>
      </c>
      <c r="K426" s="184">
        <v>0</v>
      </c>
      <c r="L426" s="184">
        <v>0</v>
      </c>
      <c r="M426" s="616" t="s">
        <v>24</v>
      </c>
      <c r="N426" s="588" t="s">
        <v>128</v>
      </c>
      <c r="O426" s="191">
        <v>0</v>
      </c>
      <c r="P426" s="184">
        <v>0</v>
      </c>
      <c r="Q426" s="184">
        <v>0</v>
      </c>
      <c r="R426" s="184">
        <v>0</v>
      </c>
      <c r="S426" s="184">
        <v>0</v>
      </c>
      <c r="T426" s="184">
        <v>0</v>
      </c>
      <c r="U426" s="184">
        <v>0</v>
      </c>
      <c r="V426" s="184">
        <v>0</v>
      </c>
      <c r="W426" s="184">
        <v>0</v>
      </c>
      <c r="X426" s="184">
        <v>0</v>
      </c>
      <c r="Y426" s="184">
        <v>0</v>
      </c>
      <c r="Z426" s="184">
        <v>0</v>
      </c>
      <c r="AA426" s="184">
        <v>0</v>
      </c>
      <c r="AB426" s="184">
        <v>0</v>
      </c>
      <c r="AC426" s="185" t="s">
        <v>24</v>
      </c>
      <c r="AD426" s="185" t="s">
        <v>24</v>
      </c>
      <c r="AE426" s="184">
        <v>0</v>
      </c>
      <c r="AF426" s="185">
        <v>0</v>
      </c>
      <c r="AG426" s="184">
        <v>0</v>
      </c>
      <c r="AH426" s="185">
        <v>0</v>
      </c>
      <c r="AI426" s="184">
        <v>0</v>
      </c>
      <c r="AJ426" s="643">
        <v>0</v>
      </c>
    </row>
    <row r="427" spans="1:36" x14ac:dyDescent="0.2">
      <c r="A427" s="440" t="s">
        <v>129</v>
      </c>
      <c r="B427" s="642">
        <v>1</v>
      </c>
      <c r="C427" s="184">
        <v>0</v>
      </c>
      <c r="D427" s="184">
        <v>1</v>
      </c>
      <c r="E427" s="184">
        <v>0</v>
      </c>
      <c r="F427" s="184">
        <v>0</v>
      </c>
      <c r="G427" s="184">
        <v>0</v>
      </c>
      <c r="H427" s="184">
        <v>0</v>
      </c>
      <c r="I427" s="184">
        <v>0</v>
      </c>
      <c r="J427" s="184">
        <v>0</v>
      </c>
      <c r="K427" s="184">
        <v>0</v>
      </c>
      <c r="L427" s="184">
        <v>0</v>
      </c>
      <c r="M427" s="616" t="s">
        <v>24</v>
      </c>
      <c r="N427" s="588" t="s">
        <v>129</v>
      </c>
      <c r="O427" s="191">
        <v>0</v>
      </c>
      <c r="P427" s="184">
        <v>0</v>
      </c>
      <c r="Q427" s="184">
        <v>0</v>
      </c>
      <c r="R427" s="184">
        <v>0</v>
      </c>
      <c r="S427" s="184">
        <v>0</v>
      </c>
      <c r="T427" s="184">
        <v>0</v>
      </c>
      <c r="U427" s="184">
        <v>1</v>
      </c>
      <c r="V427" s="184">
        <v>0</v>
      </c>
      <c r="W427" s="184">
        <v>0</v>
      </c>
      <c r="X427" s="184">
        <v>0</v>
      </c>
      <c r="Y427" s="184">
        <v>0</v>
      </c>
      <c r="Z427" s="184">
        <v>0</v>
      </c>
      <c r="AA427" s="184">
        <v>0</v>
      </c>
      <c r="AB427" s="184">
        <v>0</v>
      </c>
      <c r="AC427" s="185">
        <v>36.4</v>
      </c>
      <c r="AD427" s="185" t="s">
        <v>24</v>
      </c>
      <c r="AE427" s="184">
        <v>0</v>
      </c>
      <c r="AF427" s="185">
        <v>0</v>
      </c>
      <c r="AG427" s="184">
        <v>0</v>
      </c>
      <c r="AH427" s="185">
        <v>0</v>
      </c>
      <c r="AI427" s="184">
        <v>0</v>
      </c>
      <c r="AJ427" s="643">
        <v>0</v>
      </c>
    </row>
    <row r="428" spans="1:36" x14ac:dyDescent="0.2">
      <c r="A428" s="440" t="s">
        <v>78</v>
      </c>
      <c r="B428" s="642">
        <v>1</v>
      </c>
      <c r="C428" s="184">
        <v>0</v>
      </c>
      <c r="D428" s="184">
        <v>1</v>
      </c>
      <c r="E428" s="184">
        <v>0</v>
      </c>
      <c r="F428" s="184">
        <v>0</v>
      </c>
      <c r="G428" s="184">
        <v>0</v>
      </c>
      <c r="H428" s="184">
        <v>0</v>
      </c>
      <c r="I428" s="184">
        <v>0</v>
      </c>
      <c r="J428" s="184">
        <v>0</v>
      </c>
      <c r="K428" s="184">
        <v>0</v>
      </c>
      <c r="L428" s="184">
        <v>0</v>
      </c>
      <c r="M428" s="616" t="s">
        <v>24</v>
      </c>
      <c r="N428" s="588" t="s">
        <v>78</v>
      </c>
      <c r="O428" s="191">
        <v>0</v>
      </c>
      <c r="P428" s="184">
        <v>0</v>
      </c>
      <c r="Q428" s="184">
        <v>0</v>
      </c>
      <c r="R428" s="184">
        <v>0</v>
      </c>
      <c r="S428" s="184">
        <v>0</v>
      </c>
      <c r="T428" s="184">
        <v>0</v>
      </c>
      <c r="U428" s="184">
        <v>0</v>
      </c>
      <c r="V428" s="184">
        <v>0</v>
      </c>
      <c r="W428" s="184">
        <v>1</v>
      </c>
      <c r="X428" s="184">
        <v>0</v>
      </c>
      <c r="Y428" s="184">
        <v>0</v>
      </c>
      <c r="Z428" s="184">
        <v>0</v>
      </c>
      <c r="AA428" s="184">
        <v>0</v>
      </c>
      <c r="AB428" s="184">
        <v>0</v>
      </c>
      <c r="AC428" s="185">
        <v>48.2</v>
      </c>
      <c r="AD428" s="185" t="s">
        <v>24</v>
      </c>
      <c r="AE428" s="184">
        <v>0</v>
      </c>
      <c r="AF428" s="185">
        <v>0</v>
      </c>
      <c r="AG428" s="184">
        <v>0</v>
      </c>
      <c r="AH428" s="185">
        <v>0</v>
      </c>
      <c r="AI428" s="184">
        <v>0</v>
      </c>
      <c r="AJ428" s="643">
        <v>0</v>
      </c>
    </row>
    <row r="429" spans="1:36" x14ac:dyDescent="0.2">
      <c r="A429" s="440" t="s">
        <v>130</v>
      </c>
      <c r="B429" s="642">
        <v>1</v>
      </c>
      <c r="C429" s="184">
        <v>0</v>
      </c>
      <c r="D429" s="184">
        <v>1</v>
      </c>
      <c r="E429" s="184">
        <v>0</v>
      </c>
      <c r="F429" s="184">
        <v>0</v>
      </c>
      <c r="G429" s="184">
        <v>0</v>
      </c>
      <c r="H429" s="184">
        <v>0</v>
      </c>
      <c r="I429" s="184">
        <v>0</v>
      </c>
      <c r="J429" s="184">
        <v>0</v>
      </c>
      <c r="K429" s="184">
        <v>0</v>
      </c>
      <c r="L429" s="184">
        <v>0</v>
      </c>
      <c r="M429" s="616" t="s">
        <v>24</v>
      </c>
      <c r="N429" s="588" t="s">
        <v>130</v>
      </c>
      <c r="O429" s="191">
        <v>0</v>
      </c>
      <c r="P429" s="184">
        <v>0</v>
      </c>
      <c r="Q429" s="184">
        <v>0</v>
      </c>
      <c r="R429" s="184">
        <v>0</v>
      </c>
      <c r="S429" s="184">
        <v>0</v>
      </c>
      <c r="T429" s="184">
        <v>0</v>
      </c>
      <c r="U429" s="184">
        <v>0</v>
      </c>
      <c r="V429" s="184">
        <v>1</v>
      </c>
      <c r="W429" s="184">
        <v>0</v>
      </c>
      <c r="X429" s="184">
        <v>0</v>
      </c>
      <c r="Y429" s="184">
        <v>0</v>
      </c>
      <c r="Z429" s="184">
        <v>0</v>
      </c>
      <c r="AA429" s="184">
        <v>0</v>
      </c>
      <c r="AB429" s="184">
        <v>0</v>
      </c>
      <c r="AC429" s="185">
        <v>41.1</v>
      </c>
      <c r="AD429" s="185" t="s">
        <v>24</v>
      </c>
      <c r="AE429" s="184">
        <v>0</v>
      </c>
      <c r="AF429" s="185">
        <v>0</v>
      </c>
      <c r="AG429" s="184">
        <v>0</v>
      </c>
      <c r="AH429" s="185">
        <v>0</v>
      </c>
      <c r="AI429" s="184">
        <v>0</v>
      </c>
      <c r="AJ429" s="643">
        <v>0</v>
      </c>
    </row>
    <row r="430" spans="1:36" x14ac:dyDescent="0.2">
      <c r="A430" s="440" t="s">
        <v>131</v>
      </c>
      <c r="B430" s="642">
        <v>0</v>
      </c>
      <c r="C430" s="184">
        <v>0</v>
      </c>
      <c r="D430" s="184">
        <v>0</v>
      </c>
      <c r="E430" s="184">
        <v>0</v>
      </c>
      <c r="F430" s="184">
        <v>0</v>
      </c>
      <c r="G430" s="184">
        <v>0</v>
      </c>
      <c r="H430" s="184">
        <v>0</v>
      </c>
      <c r="I430" s="184">
        <v>0</v>
      </c>
      <c r="J430" s="184">
        <v>0</v>
      </c>
      <c r="K430" s="184">
        <v>0</v>
      </c>
      <c r="L430" s="184">
        <v>0</v>
      </c>
      <c r="M430" s="616" t="s">
        <v>24</v>
      </c>
      <c r="N430" s="588" t="s">
        <v>131</v>
      </c>
      <c r="O430" s="191">
        <v>0</v>
      </c>
      <c r="P430" s="184">
        <v>0</v>
      </c>
      <c r="Q430" s="184">
        <v>0</v>
      </c>
      <c r="R430" s="184">
        <v>0</v>
      </c>
      <c r="S430" s="184">
        <v>0</v>
      </c>
      <c r="T430" s="184">
        <v>0</v>
      </c>
      <c r="U430" s="184">
        <v>0</v>
      </c>
      <c r="V430" s="184">
        <v>0</v>
      </c>
      <c r="W430" s="184">
        <v>0</v>
      </c>
      <c r="X430" s="184">
        <v>0</v>
      </c>
      <c r="Y430" s="184">
        <v>0</v>
      </c>
      <c r="Z430" s="184">
        <v>0</v>
      </c>
      <c r="AA430" s="184">
        <v>0</v>
      </c>
      <c r="AB430" s="184">
        <v>0</v>
      </c>
      <c r="AC430" s="185" t="s">
        <v>24</v>
      </c>
      <c r="AD430" s="185" t="s">
        <v>24</v>
      </c>
      <c r="AE430" s="184">
        <v>0</v>
      </c>
      <c r="AF430" s="185">
        <v>0</v>
      </c>
      <c r="AG430" s="184">
        <v>0</v>
      </c>
      <c r="AH430" s="185">
        <v>0</v>
      </c>
      <c r="AI430" s="184">
        <v>0</v>
      </c>
      <c r="AJ430" s="643">
        <v>0</v>
      </c>
    </row>
    <row r="431" spans="1:36" x14ac:dyDescent="0.2">
      <c r="A431" s="440" t="s">
        <v>132</v>
      </c>
      <c r="B431" s="648">
        <v>0</v>
      </c>
      <c r="C431" s="649">
        <v>0</v>
      </c>
      <c r="D431" s="649">
        <v>0</v>
      </c>
      <c r="E431" s="649">
        <v>0</v>
      </c>
      <c r="F431" s="649">
        <v>0</v>
      </c>
      <c r="G431" s="649">
        <v>0</v>
      </c>
      <c r="H431" s="649">
        <v>0</v>
      </c>
      <c r="I431" s="649">
        <v>0</v>
      </c>
      <c r="J431" s="649">
        <v>0</v>
      </c>
      <c r="K431" s="649">
        <v>0</v>
      </c>
      <c r="L431" s="649">
        <v>0</v>
      </c>
      <c r="M431" s="672" t="s">
        <v>24</v>
      </c>
      <c r="N431" s="589" t="s">
        <v>132</v>
      </c>
      <c r="O431" s="673">
        <v>0</v>
      </c>
      <c r="P431" s="649">
        <v>0</v>
      </c>
      <c r="Q431" s="649">
        <v>0</v>
      </c>
      <c r="R431" s="649">
        <v>0</v>
      </c>
      <c r="S431" s="649">
        <v>0</v>
      </c>
      <c r="T431" s="649">
        <v>0</v>
      </c>
      <c r="U431" s="649">
        <v>0</v>
      </c>
      <c r="V431" s="649">
        <v>0</v>
      </c>
      <c r="W431" s="649">
        <v>0</v>
      </c>
      <c r="X431" s="649">
        <v>0</v>
      </c>
      <c r="Y431" s="649">
        <v>0</v>
      </c>
      <c r="Z431" s="649">
        <v>0</v>
      </c>
      <c r="AA431" s="649">
        <v>0</v>
      </c>
      <c r="AB431" s="649">
        <v>0</v>
      </c>
      <c r="AC431" s="650" t="s">
        <v>24</v>
      </c>
      <c r="AD431" s="650" t="s">
        <v>24</v>
      </c>
      <c r="AE431" s="649">
        <v>0</v>
      </c>
      <c r="AF431" s="650">
        <v>0</v>
      </c>
      <c r="AG431" s="649">
        <v>0</v>
      </c>
      <c r="AH431" s="650">
        <v>0</v>
      </c>
      <c r="AI431" s="649">
        <v>0</v>
      </c>
      <c r="AJ431" s="651">
        <v>0</v>
      </c>
    </row>
    <row r="432" spans="1:36" x14ac:dyDescent="0.2">
      <c r="A432" s="440" t="s">
        <v>133</v>
      </c>
      <c r="B432" s="598">
        <v>623</v>
      </c>
      <c r="C432" s="599">
        <v>25</v>
      </c>
      <c r="D432" s="599">
        <v>529</v>
      </c>
      <c r="E432" s="599">
        <v>9</v>
      </c>
      <c r="F432" s="599">
        <v>55</v>
      </c>
      <c r="G432" s="599">
        <v>1</v>
      </c>
      <c r="H432" s="599">
        <v>1</v>
      </c>
      <c r="I432" s="599">
        <v>0</v>
      </c>
      <c r="J432" s="599">
        <v>2</v>
      </c>
      <c r="K432" s="599">
        <v>0</v>
      </c>
      <c r="L432" s="599">
        <v>1</v>
      </c>
      <c r="M432" s="599" t="s">
        <v>24</v>
      </c>
      <c r="N432" s="587" t="s">
        <v>133</v>
      </c>
      <c r="O432" s="599">
        <v>1</v>
      </c>
      <c r="P432" s="599">
        <v>8</v>
      </c>
      <c r="Q432" s="599">
        <v>4</v>
      </c>
      <c r="R432" s="599">
        <v>7</v>
      </c>
      <c r="S432" s="599">
        <v>19</v>
      </c>
      <c r="T432" s="599">
        <v>87</v>
      </c>
      <c r="U432" s="599">
        <v>181</v>
      </c>
      <c r="V432" s="599">
        <v>160</v>
      </c>
      <c r="W432" s="599">
        <v>105</v>
      </c>
      <c r="X432" s="599">
        <v>45</v>
      </c>
      <c r="Y432" s="599">
        <v>5</v>
      </c>
      <c r="Z432" s="599">
        <v>1</v>
      </c>
      <c r="AA432" s="599">
        <v>0</v>
      </c>
      <c r="AB432" s="599">
        <v>0</v>
      </c>
      <c r="AC432" s="611">
        <v>40.077083333333341</v>
      </c>
      <c r="AD432" s="611">
        <v>47.592592592592595</v>
      </c>
      <c r="AE432" s="599">
        <v>6</v>
      </c>
      <c r="AF432" s="611">
        <v>1.3317932067932068</v>
      </c>
      <c r="AG432" s="599">
        <v>1</v>
      </c>
      <c r="AH432" s="611">
        <v>0.14880952380952381</v>
      </c>
      <c r="AI432" s="599">
        <v>1</v>
      </c>
      <c r="AJ432" s="612">
        <v>0.14880952380952381</v>
      </c>
    </row>
    <row r="433" spans="1:36" x14ac:dyDescent="0.2">
      <c r="A433" s="440" t="s">
        <v>134</v>
      </c>
      <c r="B433" s="601">
        <v>718</v>
      </c>
      <c r="C433" s="441">
        <v>26</v>
      </c>
      <c r="D433" s="441">
        <v>616</v>
      </c>
      <c r="E433" s="441">
        <v>9</v>
      </c>
      <c r="F433" s="441">
        <v>62</v>
      </c>
      <c r="G433" s="441">
        <v>1</v>
      </c>
      <c r="H433" s="441">
        <v>1</v>
      </c>
      <c r="I433" s="441">
        <v>0</v>
      </c>
      <c r="J433" s="441">
        <v>2</v>
      </c>
      <c r="K433" s="441">
        <v>0</v>
      </c>
      <c r="L433" s="441">
        <v>1</v>
      </c>
      <c r="M433" s="441" t="s">
        <v>24</v>
      </c>
      <c r="N433" s="588" t="s">
        <v>134</v>
      </c>
      <c r="O433" s="441">
        <v>1</v>
      </c>
      <c r="P433" s="441">
        <v>8</v>
      </c>
      <c r="Q433" s="441">
        <v>4</v>
      </c>
      <c r="R433" s="441">
        <v>7</v>
      </c>
      <c r="S433" s="441">
        <v>20</v>
      </c>
      <c r="T433" s="441">
        <v>97</v>
      </c>
      <c r="U433" s="441">
        <v>206</v>
      </c>
      <c r="V433" s="441">
        <v>181</v>
      </c>
      <c r="W433" s="441">
        <v>134</v>
      </c>
      <c r="X433" s="441">
        <v>52</v>
      </c>
      <c r="Y433" s="441">
        <v>7</v>
      </c>
      <c r="Z433" s="441">
        <v>1</v>
      </c>
      <c r="AA433" s="441">
        <v>0</v>
      </c>
      <c r="AB433" s="441">
        <v>0</v>
      </c>
      <c r="AC433" s="442">
        <v>40.661904761904765</v>
      </c>
      <c r="AD433" s="442">
        <v>47.824137931034485</v>
      </c>
      <c r="AE433" s="441">
        <v>8</v>
      </c>
      <c r="AF433" s="442">
        <v>1.2983240717615718</v>
      </c>
      <c r="AG433" s="441">
        <v>1</v>
      </c>
      <c r="AH433" s="442">
        <v>0.11160714285714285</v>
      </c>
      <c r="AI433" s="441">
        <v>1</v>
      </c>
      <c r="AJ433" s="613">
        <v>0.11160714285714285</v>
      </c>
    </row>
    <row r="434" spans="1:36" x14ac:dyDescent="0.2">
      <c r="A434" s="440" t="s">
        <v>135</v>
      </c>
      <c r="B434" s="601">
        <v>725</v>
      </c>
      <c r="C434" s="441">
        <v>26</v>
      </c>
      <c r="D434" s="441">
        <v>623</v>
      </c>
      <c r="E434" s="441">
        <v>9</v>
      </c>
      <c r="F434" s="441">
        <v>62</v>
      </c>
      <c r="G434" s="441">
        <v>1</v>
      </c>
      <c r="H434" s="441">
        <v>1</v>
      </c>
      <c r="I434" s="441">
        <v>0</v>
      </c>
      <c r="J434" s="441">
        <v>2</v>
      </c>
      <c r="K434" s="441">
        <v>0</v>
      </c>
      <c r="L434" s="441">
        <v>1</v>
      </c>
      <c r="M434" s="441" t="s">
        <v>24</v>
      </c>
      <c r="N434" s="588" t="s">
        <v>135</v>
      </c>
      <c r="O434" s="441">
        <v>1</v>
      </c>
      <c r="P434" s="441">
        <v>8</v>
      </c>
      <c r="Q434" s="441">
        <v>4</v>
      </c>
      <c r="R434" s="441">
        <v>7</v>
      </c>
      <c r="S434" s="441">
        <v>20</v>
      </c>
      <c r="T434" s="441">
        <v>97</v>
      </c>
      <c r="U434" s="441">
        <v>207</v>
      </c>
      <c r="V434" s="441">
        <v>185</v>
      </c>
      <c r="W434" s="441">
        <v>136</v>
      </c>
      <c r="X434" s="441">
        <v>52</v>
      </c>
      <c r="Y434" s="441">
        <v>7</v>
      </c>
      <c r="Z434" s="441">
        <v>1</v>
      </c>
      <c r="AA434" s="441">
        <v>0</v>
      </c>
      <c r="AB434" s="441">
        <v>0</v>
      </c>
      <c r="AC434" s="442">
        <v>40.777941176470591</v>
      </c>
      <c r="AD434" s="442">
        <v>47.824137931034485</v>
      </c>
      <c r="AE434" s="441">
        <v>8</v>
      </c>
      <c r="AF434" s="442">
        <v>1.1540658415658416</v>
      </c>
      <c r="AG434" s="441">
        <v>1</v>
      </c>
      <c r="AH434" s="442">
        <v>9.9206349206349201E-2</v>
      </c>
      <c r="AI434" s="441">
        <v>1</v>
      </c>
      <c r="AJ434" s="613">
        <v>9.9206349206349201E-2</v>
      </c>
    </row>
    <row r="435" spans="1:36" x14ac:dyDescent="0.2">
      <c r="A435" s="440" t="s">
        <v>136</v>
      </c>
      <c r="B435" s="603">
        <v>747</v>
      </c>
      <c r="C435" s="604">
        <v>26</v>
      </c>
      <c r="D435" s="604">
        <v>641</v>
      </c>
      <c r="E435" s="604">
        <v>9</v>
      </c>
      <c r="F435" s="604">
        <v>66</v>
      </c>
      <c r="G435" s="604">
        <v>1</v>
      </c>
      <c r="H435" s="604">
        <v>1</v>
      </c>
      <c r="I435" s="604">
        <v>0</v>
      </c>
      <c r="J435" s="604">
        <v>2</v>
      </c>
      <c r="K435" s="604">
        <v>0</v>
      </c>
      <c r="L435" s="604">
        <v>1</v>
      </c>
      <c r="M435" s="604" t="s">
        <v>24</v>
      </c>
      <c r="N435" s="589" t="s">
        <v>136</v>
      </c>
      <c r="O435" s="604">
        <v>1</v>
      </c>
      <c r="P435" s="604">
        <v>8</v>
      </c>
      <c r="Q435" s="604">
        <v>4</v>
      </c>
      <c r="R435" s="604">
        <v>7</v>
      </c>
      <c r="S435" s="604">
        <v>20</v>
      </c>
      <c r="T435" s="604">
        <v>97</v>
      </c>
      <c r="U435" s="604">
        <v>211</v>
      </c>
      <c r="V435" s="604">
        <v>193</v>
      </c>
      <c r="W435" s="604">
        <v>142</v>
      </c>
      <c r="X435" s="604">
        <v>55</v>
      </c>
      <c r="Y435" s="604">
        <v>8</v>
      </c>
      <c r="Z435" s="604">
        <v>1</v>
      </c>
      <c r="AA435" s="604">
        <v>0</v>
      </c>
      <c r="AB435" s="604">
        <v>0</v>
      </c>
      <c r="AC435" s="614">
        <v>41.658227848101269</v>
      </c>
      <c r="AD435" s="614">
        <v>47.824137931034485</v>
      </c>
      <c r="AE435" s="604">
        <v>9</v>
      </c>
      <c r="AF435" s="614">
        <v>1.2127716033966034</v>
      </c>
      <c r="AG435" s="604">
        <v>1</v>
      </c>
      <c r="AH435" s="614">
        <v>7.4404761904761904E-2</v>
      </c>
      <c r="AI435" s="604">
        <v>1</v>
      </c>
      <c r="AJ435" s="615">
        <v>7.4404761904761904E-2</v>
      </c>
    </row>
    <row r="436" spans="1:36" x14ac:dyDescent="0.2">
      <c r="A436" s="440"/>
      <c r="B436" s="660"/>
      <c r="C436" s="661"/>
      <c r="D436" s="661"/>
      <c r="E436" s="661"/>
      <c r="F436" s="661"/>
      <c r="G436" s="661"/>
      <c r="H436" s="661"/>
      <c r="I436" s="661"/>
      <c r="J436" s="661"/>
      <c r="K436" s="661"/>
      <c r="L436" s="661"/>
      <c r="M436" s="661"/>
      <c r="N436" s="662"/>
      <c r="O436" s="661"/>
      <c r="P436" s="661"/>
      <c r="Q436" s="661"/>
      <c r="R436" s="661"/>
      <c r="S436" s="661"/>
      <c r="T436" s="661"/>
      <c r="U436" s="661"/>
      <c r="V436" s="661"/>
      <c r="W436" s="661"/>
      <c r="X436" s="661"/>
      <c r="Y436" s="661"/>
      <c r="Z436" s="661"/>
      <c r="AA436" s="661"/>
      <c r="AB436" s="661"/>
      <c r="AC436" s="663"/>
      <c r="AD436" s="663"/>
      <c r="AE436" s="661"/>
      <c r="AF436" s="663"/>
      <c r="AG436" s="661"/>
      <c r="AH436" s="663"/>
      <c r="AI436" s="661"/>
      <c r="AJ436" s="663"/>
    </row>
    <row r="437" spans="1:36" x14ac:dyDescent="0.2">
      <c r="A437" s="440"/>
      <c r="B437" s="664"/>
      <c r="C437" s="169"/>
      <c r="D437" s="169"/>
      <c r="E437" s="169"/>
      <c r="F437" s="169"/>
      <c r="G437" s="169"/>
      <c r="H437" s="169"/>
      <c r="I437" s="169"/>
      <c r="J437" s="169"/>
      <c r="K437" s="169"/>
      <c r="L437" s="169"/>
      <c r="M437" s="169"/>
      <c r="N437" s="178"/>
      <c r="O437" s="169"/>
      <c r="P437" s="169"/>
      <c r="Q437" s="169"/>
      <c r="R437" s="169"/>
      <c r="S437" s="169"/>
      <c r="T437" s="169"/>
      <c r="U437" s="169"/>
      <c r="V437" s="169"/>
      <c r="W437" s="169"/>
      <c r="X437" s="169"/>
      <c r="Y437" s="169"/>
      <c r="Z437" s="169"/>
      <c r="AA437" s="169"/>
      <c r="AB437" s="169"/>
      <c r="AC437" s="177"/>
      <c r="AD437" s="177"/>
      <c r="AE437" s="169"/>
      <c r="AF437" s="177"/>
      <c r="AG437" s="169"/>
      <c r="AH437" s="177"/>
      <c r="AI437" s="169"/>
      <c r="AJ437" s="177"/>
    </row>
    <row r="438" spans="1:36" x14ac:dyDescent="0.2">
      <c r="A438" s="659">
        <f>A331+1</f>
        <v>43267</v>
      </c>
      <c r="B438" s="664"/>
      <c r="C438" s="169"/>
      <c r="D438" s="169"/>
      <c r="E438" s="169"/>
      <c r="F438" s="169"/>
      <c r="G438" s="169"/>
      <c r="H438" s="169"/>
      <c r="I438" s="169"/>
      <c r="J438" s="169"/>
      <c r="K438" s="169"/>
      <c r="L438" s="169"/>
      <c r="M438" s="169"/>
      <c r="N438" s="178"/>
      <c r="O438" s="169"/>
      <c r="P438" s="169"/>
      <c r="Q438" s="169"/>
      <c r="R438" s="169"/>
      <c r="S438" s="169"/>
      <c r="T438" s="169"/>
      <c r="U438" s="169"/>
      <c r="V438" s="169"/>
      <c r="W438" s="169"/>
      <c r="X438" s="169"/>
      <c r="Y438" s="169"/>
      <c r="Z438" s="169"/>
      <c r="AA438" s="169"/>
      <c r="AB438" s="169"/>
      <c r="AC438" s="177"/>
      <c r="AD438" s="177"/>
      <c r="AE438" s="169"/>
      <c r="AF438" s="177"/>
      <c r="AG438" s="169"/>
      <c r="AH438" s="177"/>
      <c r="AI438" s="169"/>
      <c r="AJ438" s="177"/>
    </row>
    <row r="439" spans="1:36" x14ac:dyDescent="0.2">
      <c r="A439" s="440"/>
      <c r="B439" s="665"/>
      <c r="C439" s="666"/>
      <c r="D439" s="666"/>
      <c r="E439" s="666"/>
      <c r="F439" s="666"/>
      <c r="G439" s="666"/>
      <c r="H439" s="666"/>
      <c r="I439" s="666"/>
      <c r="J439" s="666"/>
      <c r="K439" s="666"/>
      <c r="L439" s="666"/>
      <c r="M439" s="666"/>
      <c r="N439" s="667"/>
      <c r="O439" s="666"/>
      <c r="P439" s="666"/>
      <c r="Q439" s="666"/>
      <c r="R439" s="666"/>
      <c r="S439" s="666"/>
      <c r="T439" s="666"/>
      <c r="U439" s="666"/>
      <c r="V439" s="666"/>
      <c r="W439" s="666"/>
      <c r="X439" s="666"/>
      <c r="Y439" s="666"/>
      <c r="Z439" s="666"/>
      <c r="AA439" s="666"/>
      <c r="AB439" s="666"/>
      <c r="AC439" s="668"/>
      <c r="AD439" s="668"/>
      <c r="AE439" s="666"/>
      <c r="AF439" s="668"/>
      <c r="AG439" s="666"/>
      <c r="AH439" s="668"/>
      <c r="AI439" s="666"/>
      <c r="AJ439" s="668"/>
    </row>
    <row r="440" spans="1:36" x14ac:dyDescent="0.2">
      <c r="A440" s="566" t="s">
        <v>254</v>
      </c>
      <c r="B440" s="576" t="s">
        <v>0</v>
      </c>
      <c r="C440" s="577" t="s">
        <v>442</v>
      </c>
      <c r="D440" s="577" t="s">
        <v>215</v>
      </c>
      <c r="E440" s="577" t="s">
        <v>443</v>
      </c>
      <c r="F440" s="577" t="s">
        <v>444</v>
      </c>
      <c r="G440" s="577" t="s">
        <v>445</v>
      </c>
      <c r="H440" s="577" t="s">
        <v>446</v>
      </c>
      <c r="I440" s="577" t="s">
        <v>447</v>
      </c>
      <c r="J440" s="577" t="s">
        <v>448</v>
      </c>
      <c r="K440" s="577" t="s">
        <v>449</v>
      </c>
      <c r="L440" s="577" t="s">
        <v>450</v>
      </c>
      <c r="M440" s="577"/>
      <c r="N440" s="587" t="s">
        <v>11</v>
      </c>
      <c r="O440" s="577" t="s">
        <v>268</v>
      </c>
      <c r="P440" s="577" t="s">
        <v>269</v>
      </c>
      <c r="Q440" s="577" t="s">
        <v>270</v>
      </c>
      <c r="R440" s="577" t="s">
        <v>271</v>
      </c>
      <c r="S440" s="577" t="s">
        <v>272</v>
      </c>
      <c r="T440" s="577" t="s">
        <v>273</v>
      </c>
      <c r="U440" s="577" t="s">
        <v>274</v>
      </c>
      <c r="V440" s="577" t="s">
        <v>275</v>
      </c>
      <c r="W440" s="577" t="s">
        <v>276</v>
      </c>
      <c r="X440" s="577" t="s">
        <v>277</v>
      </c>
      <c r="Y440" s="577" t="s">
        <v>278</v>
      </c>
      <c r="Z440" s="577" t="s">
        <v>279</v>
      </c>
      <c r="AA440" s="577" t="s">
        <v>280</v>
      </c>
      <c r="AB440" s="577" t="s">
        <v>281</v>
      </c>
      <c r="AC440" s="629" t="s">
        <v>258</v>
      </c>
      <c r="AD440" s="629" t="s">
        <v>13</v>
      </c>
      <c r="AE440" s="577" t="s">
        <v>166</v>
      </c>
      <c r="AF440" s="629" t="s">
        <v>259</v>
      </c>
      <c r="AG440" s="630" t="s">
        <v>260</v>
      </c>
      <c r="AH440" s="631" t="s">
        <v>261</v>
      </c>
      <c r="AI440" s="630" t="s">
        <v>262</v>
      </c>
      <c r="AJ440" s="632" t="s">
        <v>263</v>
      </c>
    </row>
    <row r="441" spans="1:36" x14ac:dyDescent="0.2">
      <c r="A441" s="440" t="s">
        <v>24</v>
      </c>
      <c r="B441" s="579" t="s">
        <v>24</v>
      </c>
      <c r="C441" s="443" t="s">
        <v>25</v>
      </c>
      <c r="D441" s="443" t="s">
        <v>26</v>
      </c>
      <c r="E441" s="443" t="s">
        <v>27</v>
      </c>
      <c r="F441" s="443" t="s">
        <v>28</v>
      </c>
      <c r="G441" s="443" t="s">
        <v>29</v>
      </c>
      <c r="H441" s="443" t="s">
        <v>30</v>
      </c>
      <c r="I441" s="443" t="s">
        <v>31</v>
      </c>
      <c r="J441" s="443" t="s">
        <v>32</v>
      </c>
      <c r="K441" s="443" t="s">
        <v>33</v>
      </c>
      <c r="L441" s="443" t="s">
        <v>34</v>
      </c>
      <c r="M441" s="443" t="s">
        <v>24</v>
      </c>
      <c r="N441" s="588" t="s">
        <v>24</v>
      </c>
      <c r="O441" s="443" t="s">
        <v>451</v>
      </c>
      <c r="P441" s="443" t="s">
        <v>34</v>
      </c>
      <c r="Q441" s="443" t="s">
        <v>452</v>
      </c>
      <c r="R441" s="443" t="s">
        <v>453</v>
      </c>
      <c r="S441" s="443" t="s">
        <v>454</v>
      </c>
      <c r="T441" s="443" t="s">
        <v>455</v>
      </c>
      <c r="U441" s="443" t="s">
        <v>456</v>
      </c>
      <c r="V441" s="443" t="s">
        <v>457</v>
      </c>
      <c r="W441" s="443" t="s">
        <v>458</v>
      </c>
      <c r="X441" s="443" t="s">
        <v>459</v>
      </c>
      <c r="Y441" s="443" t="s">
        <v>460</v>
      </c>
      <c r="Z441" s="443" t="s">
        <v>461</v>
      </c>
      <c r="AA441" s="443" t="s">
        <v>462</v>
      </c>
      <c r="AB441" s="443" t="s">
        <v>463</v>
      </c>
      <c r="AC441" s="444"/>
      <c r="AD441" s="444">
        <v>0</v>
      </c>
      <c r="AE441" s="443">
        <v>60</v>
      </c>
      <c r="AF441" s="443">
        <v>60</v>
      </c>
      <c r="AG441" s="445">
        <v>65</v>
      </c>
      <c r="AH441" s="445">
        <v>65</v>
      </c>
      <c r="AI441" s="445">
        <v>75</v>
      </c>
      <c r="AJ441" s="633">
        <v>75</v>
      </c>
    </row>
    <row r="442" spans="1:36" ht="13.5" thickBot="1" x14ac:dyDescent="0.25">
      <c r="A442" s="440" t="s">
        <v>24</v>
      </c>
      <c r="B442" s="579" t="s">
        <v>24</v>
      </c>
      <c r="C442" s="582" t="s">
        <v>24</v>
      </c>
      <c r="D442" s="582" t="s">
        <v>24</v>
      </c>
      <c r="E442" s="582" t="s">
        <v>24</v>
      </c>
      <c r="F442" s="582" t="s">
        <v>24</v>
      </c>
      <c r="G442" s="582" t="s">
        <v>24</v>
      </c>
      <c r="H442" s="582" t="s">
        <v>24</v>
      </c>
      <c r="I442" s="582" t="s">
        <v>24</v>
      </c>
      <c r="J442" s="582" t="s">
        <v>24</v>
      </c>
      <c r="K442" s="582" t="s">
        <v>24</v>
      </c>
      <c r="L442" s="582" t="s">
        <v>24</v>
      </c>
      <c r="M442" s="582" t="s">
        <v>24</v>
      </c>
      <c r="N442" s="589" t="s">
        <v>24</v>
      </c>
      <c r="O442" s="582" t="s">
        <v>34</v>
      </c>
      <c r="P442" s="582" t="s">
        <v>452</v>
      </c>
      <c r="Q442" s="582" t="s">
        <v>453</v>
      </c>
      <c r="R442" s="582" t="s">
        <v>454</v>
      </c>
      <c r="S442" s="582" t="s">
        <v>455</v>
      </c>
      <c r="T442" s="582" t="s">
        <v>456</v>
      </c>
      <c r="U442" s="582" t="s">
        <v>457</v>
      </c>
      <c r="V442" s="582" t="s">
        <v>458</v>
      </c>
      <c r="W442" s="582" t="s">
        <v>459</v>
      </c>
      <c r="X442" s="582" t="s">
        <v>460</v>
      </c>
      <c r="Y442" s="582" t="s">
        <v>461</v>
      </c>
      <c r="Z442" s="582" t="s">
        <v>462</v>
      </c>
      <c r="AA442" s="582" t="s">
        <v>463</v>
      </c>
      <c r="AB442" s="582" t="s">
        <v>464</v>
      </c>
      <c r="AC442" s="634"/>
      <c r="AD442" s="634"/>
      <c r="AE442" s="582"/>
      <c r="AF442" s="634"/>
      <c r="AG442" s="635" t="s">
        <v>35</v>
      </c>
      <c r="AH442" s="636" t="s">
        <v>35</v>
      </c>
      <c r="AI442" s="635" t="s">
        <v>36</v>
      </c>
      <c r="AJ442" s="637" t="s">
        <v>36</v>
      </c>
    </row>
    <row r="443" spans="1:36" ht="13.5" thickBot="1" x14ac:dyDescent="0.25">
      <c r="A443" s="440" t="s">
        <v>37</v>
      </c>
      <c r="B443" s="691">
        <v>0</v>
      </c>
      <c r="C443" s="567">
        <v>0</v>
      </c>
      <c r="D443" s="186">
        <v>0</v>
      </c>
      <c r="E443" s="186">
        <v>0</v>
      </c>
      <c r="F443" s="186">
        <v>0</v>
      </c>
      <c r="G443" s="186">
        <v>0</v>
      </c>
      <c r="H443" s="186">
        <v>0</v>
      </c>
      <c r="I443" s="186">
        <v>0</v>
      </c>
      <c r="J443" s="186">
        <v>0</v>
      </c>
      <c r="K443" s="186">
        <v>0</v>
      </c>
      <c r="L443" s="186">
        <v>0</v>
      </c>
      <c r="M443" s="656" t="s">
        <v>24</v>
      </c>
      <c r="N443" s="670" t="s">
        <v>37</v>
      </c>
      <c r="O443" s="646">
        <v>0</v>
      </c>
      <c r="P443" s="186">
        <v>0</v>
      </c>
      <c r="Q443" s="186">
        <v>0</v>
      </c>
      <c r="R443" s="186">
        <v>0</v>
      </c>
      <c r="S443" s="186">
        <v>0</v>
      </c>
      <c r="T443" s="186">
        <v>0</v>
      </c>
      <c r="U443" s="186">
        <v>0</v>
      </c>
      <c r="V443" s="186">
        <v>0</v>
      </c>
      <c r="W443" s="186">
        <v>0</v>
      </c>
      <c r="X443" s="186">
        <v>0</v>
      </c>
      <c r="Y443" s="186">
        <v>0</v>
      </c>
      <c r="Z443" s="186">
        <v>0</v>
      </c>
      <c r="AA443" s="186">
        <v>0</v>
      </c>
      <c r="AB443" s="186">
        <v>0</v>
      </c>
      <c r="AC443" s="187" t="s">
        <v>24</v>
      </c>
      <c r="AD443" s="187" t="s">
        <v>24</v>
      </c>
      <c r="AE443" s="186">
        <v>0</v>
      </c>
      <c r="AF443" s="187">
        <v>0</v>
      </c>
      <c r="AG443" s="186">
        <v>0</v>
      </c>
      <c r="AH443" s="187">
        <v>0</v>
      </c>
      <c r="AI443" s="186">
        <v>0</v>
      </c>
      <c r="AJ443" s="647">
        <v>0</v>
      </c>
    </row>
    <row r="444" spans="1:36" x14ac:dyDescent="0.2">
      <c r="A444" s="440" t="s">
        <v>38</v>
      </c>
      <c r="B444" s="646">
        <v>0</v>
      </c>
      <c r="C444" s="184">
        <v>0</v>
      </c>
      <c r="D444" s="184">
        <v>0</v>
      </c>
      <c r="E444" s="184">
        <v>0</v>
      </c>
      <c r="F444" s="184">
        <v>0</v>
      </c>
      <c r="G444" s="184">
        <v>0</v>
      </c>
      <c r="H444" s="184">
        <v>0</v>
      </c>
      <c r="I444" s="184">
        <v>0</v>
      </c>
      <c r="J444" s="184">
        <v>0</v>
      </c>
      <c r="K444" s="184">
        <v>0</v>
      </c>
      <c r="L444" s="184">
        <v>0</v>
      </c>
      <c r="M444" s="654" t="s">
        <v>24</v>
      </c>
      <c r="N444" s="670" t="s">
        <v>38</v>
      </c>
      <c r="O444" s="642">
        <v>0</v>
      </c>
      <c r="P444" s="184">
        <v>0</v>
      </c>
      <c r="Q444" s="184">
        <v>0</v>
      </c>
      <c r="R444" s="184">
        <v>0</v>
      </c>
      <c r="S444" s="184">
        <v>0</v>
      </c>
      <c r="T444" s="184">
        <v>0</v>
      </c>
      <c r="U444" s="184">
        <v>0</v>
      </c>
      <c r="V444" s="184">
        <v>0</v>
      </c>
      <c r="W444" s="184">
        <v>0</v>
      </c>
      <c r="X444" s="184">
        <v>0</v>
      </c>
      <c r="Y444" s="184">
        <v>0</v>
      </c>
      <c r="Z444" s="184">
        <v>0</v>
      </c>
      <c r="AA444" s="184">
        <v>0</v>
      </c>
      <c r="AB444" s="184">
        <v>0</v>
      </c>
      <c r="AC444" s="185" t="s">
        <v>24</v>
      </c>
      <c r="AD444" s="185" t="s">
        <v>24</v>
      </c>
      <c r="AE444" s="184">
        <v>0</v>
      </c>
      <c r="AF444" s="185">
        <v>0</v>
      </c>
      <c r="AG444" s="184">
        <v>0</v>
      </c>
      <c r="AH444" s="185">
        <v>0</v>
      </c>
      <c r="AI444" s="184">
        <v>0</v>
      </c>
      <c r="AJ444" s="643">
        <v>0</v>
      </c>
    </row>
    <row r="445" spans="1:36" x14ac:dyDescent="0.2">
      <c r="A445" s="440" t="s">
        <v>40</v>
      </c>
      <c r="B445" s="642">
        <v>0</v>
      </c>
      <c r="C445" s="184">
        <v>0</v>
      </c>
      <c r="D445" s="184">
        <v>0</v>
      </c>
      <c r="E445" s="184">
        <v>0</v>
      </c>
      <c r="F445" s="184">
        <v>0</v>
      </c>
      <c r="G445" s="184">
        <v>0</v>
      </c>
      <c r="H445" s="184">
        <v>0</v>
      </c>
      <c r="I445" s="184">
        <v>0</v>
      </c>
      <c r="J445" s="184">
        <v>0</v>
      </c>
      <c r="K445" s="184">
        <v>0</v>
      </c>
      <c r="L445" s="184">
        <v>0</v>
      </c>
      <c r="M445" s="654" t="s">
        <v>24</v>
      </c>
      <c r="N445" s="670" t="s">
        <v>40</v>
      </c>
      <c r="O445" s="642">
        <v>0</v>
      </c>
      <c r="P445" s="184">
        <v>0</v>
      </c>
      <c r="Q445" s="184">
        <v>0</v>
      </c>
      <c r="R445" s="184">
        <v>0</v>
      </c>
      <c r="S445" s="184">
        <v>0</v>
      </c>
      <c r="T445" s="184">
        <v>0</v>
      </c>
      <c r="U445" s="184">
        <v>0</v>
      </c>
      <c r="V445" s="184">
        <v>0</v>
      </c>
      <c r="W445" s="184">
        <v>0</v>
      </c>
      <c r="X445" s="184">
        <v>0</v>
      </c>
      <c r="Y445" s="184">
        <v>0</v>
      </c>
      <c r="Z445" s="184">
        <v>0</v>
      </c>
      <c r="AA445" s="184">
        <v>0</v>
      </c>
      <c r="AB445" s="184">
        <v>0</v>
      </c>
      <c r="AC445" s="185" t="s">
        <v>24</v>
      </c>
      <c r="AD445" s="185" t="s">
        <v>24</v>
      </c>
      <c r="AE445" s="184">
        <v>0</v>
      </c>
      <c r="AF445" s="185">
        <v>0</v>
      </c>
      <c r="AG445" s="184">
        <v>0</v>
      </c>
      <c r="AH445" s="185">
        <v>0</v>
      </c>
      <c r="AI445" s="184">
        <v>0</v>
      </c>
      <c r="AJ445" s="643">
        <v>0</v>
      </c>
    </row>
    <row r="446" spans="1:36" x14ac:dyDescent="0.2">
      <c r="A446" s="440" t="s">
        <v>42</v>
      </c>
      <c r="B446" s="642">
        <v>1</v>
      </c>
      <c r="C446" s="184">
        <v>0</v>
      </c>
      <c r="D446" s="184">
        <v>1</v>
      </c>
      <c r="E446" s="184">
        <v>0</v>
      </c>
      <c r="F446" s="184">
        <v>0</v>
      </c>
      <c r="G446" s="184">
        <v>0</v>
      </c>
      <c r="H446" s="184">
        <v>0</v>
      </c>
      <c r="I446" s="184">
        <v>0</v>
      </c>
      <c r="J446" s="184">
        <v>0</v>
      </c>
      <c r="K446" s="184">
        <v>0</v>
      </c>
      <c r="L446" s="184">
        <v>0</v>
      </c>
      <c r="M446" s="654" t="s">
        <v>24</v>
      </c>
      <c r="N446" s="670" t="s">
        <v>42</v>
      </c>
      <c r="O446" s="642">
        <v>0</v>
      </c>
      <c r="P446" s="184">
        <v>0</v>
      </c>
      <c r="Q446" s="184">
        <v>0</v>
      </c>
      <c r="R446" s="184">
        <v>0</v>
      </c>
      <c r="S446" s="184">
        <v>0</v>
      </c>
      <c r="T446" s="184">
        <v>1</v>
      </c>
      <c r="U446" s="184">
        <v>0</v>
      </c>
      <c r="V446" s="184">
        <v>0</v>
      </c>
      <c r="W446" s="184">
        <v>0</v>
      </c>
      <c r="X446" s="184">
        <v>0</v>
      </c>
      <c r="Y446" s="184">
        <v>0</v>
      </c>
      <c r="Z446" s="184">
        <v>0</v>
      </c>
      <c r="AA446" s="184">
        <v>0</v>
      </c>
      <c r="AB446" s="184">
        <v>0</v>
      </c>
      <c r="AC446" s="185">
        <v>32</v>
      </c>
      <c r="AD446" s="185" t="s">
        <v>24</v>
      </c>
      <c r="AE446" s="184">
        <v>0</v>
      </c>
      <c r="AF446" s="185">
        <v>0</v>
      </c>
      <c r="AG446" s="184">
        <v>0</v>
      </c>
      <c r="AH446" s="185">
        <v>0</v>
      </c>
      <c r="AI446" s="184">
        <v>0</v>
      </c>
      <c r="AJ446" s="643">
        <v>0</v>
      </c>
    </row>
    <row r="447" spans="1:36" x14ac:dyDescent="0.2">
      <c r="A447" s="440" t="s">
        <v>39</v>
      </c>
      <c r="B447" s="642">
        <v>1</v>
      </c>
      <c r="C447" s="184">
        <v>0</v>
      </c>
      <c r="D447" s="184">
        <v>1</v>
      </c>
      <c r="E447" s="184">
        <v>0</v>
      </c>
      <c r="F447" s="184">
        <v>0</v>
      </c>
      <c r="G447" s="184">
        <v>0</v>
      </c>
      <c r="H447" s="184">
        <v>0</v>
      </c>
      <c r="I447" s="184">
        <v>0</v>
      </c>
      <c r="J447" s="184">
        <v>0</v>
      </c>
      <c r="K447" s="184">
        <v>0</v>
      </c>
      <c r="L447" s="184">
        <v>0</v>
      </c>
      <c r="M447" s="654" t="s">
        <v>24</v>
      </c>
      <c r="N447" s="670" t="s">
        <v>39</v>
      </c>
      <c r="O447" s="642">
        <v>0</v>
      </c>
      <c r="P447" s="184">
        <v>0</v>
      </c>
      <c r="Q447" s="184">
        <v>0</v>
      </c>
      <c r="R447" s="184">
        <v>0</v>
      </c>
      <c r="S447" s="184">
        <v>0</v>
      </c>
      <c r="T447" s="184">
        <v>0</v>
      </c>
      <c r="U447" s="184">
        <v>0</v>
      </c>
      <c r="V447" s="184">
        <v>1</v>
      </c>
      <c r="W447" s="184">
        <v>0</v>
      </c>
      <c r="X447" s="184">
        <v>0</v>
      </c>
      <c r="Y447" s="184">
        <v>0</v>
      </c>
      <c r="Z447" s="184">
        <v>0</v>
      </c>
      <c r="AA447" s="184">
        <v>0</v>
      </c>
      <c r="AB447" s="184">
        <v>0</v>
      </c>
      <c r="AC447" s="185">
        <v>41.5</v>
      </c>
      <c r="AD447" s="185" t="s">
        <v>24</v>
      </c>
      <c r="AE447" s="184">
        <v>0</v>
      </c>
      <c r="AF447" s="185">
        <v>0</v>
      </c>
      <c r="AG447" s="184">
        <v>0</v>
      </c>
      <c r="AH447" s="185">
        <v>0</v>
      </c>
      <c r="AI447" s="184">
        <v>0</v>
      </c>
      <c r="AJ447" s="643">
        <v>0</v>
      </c>
    </row>
    <row r="448" spans="1:36" x14ac:dyDescent="0.2">
      <c r="A448" s="440" t="s">
        <v>45</v>
      </c>
      <c r="B448" s="642">
        <v>1</v>
      </c>
      <c r="C448" s="184">
        <v>0</v>
      </c>
      <c r="D448" s="184">
        <v>1</v>
      </c>
      <c r="E448" s="184">
        <v>0</v>
      </c>
      <c r="F448" s="184">
        <v>0</v>
      </c>
      <c r="G448" s="184">
        <v>0</v>
      </c>
      <c r="H448" s="184">
        <v>0</v>
      </c>
      <c r="I448" s="184">
        <v>0</v>
      </c>
      <c r="J448" s="184">
        <v>0</v>
      </c>
      <c r="K448" s="184">
        <v>0</v>
      </c>
      <c r="L448" s="184">
        <v>0</v>
      </c>
      <c r="M448" s="654" t="s">
        <v>24</v>
      </c>
      <c r="N448" s="670" t="s">
        <v>45</v>
      </c>
      <c r="O448" s="642">
        <v>0</v>
      </c>
      <c r="P448" s="184">
        <v>0</v>
      </c>
      <c r="Q448" s="184">
        <v>0</v>
      </c>
      <c r="R448" s="184">
        <v>0</v>
      </c>
      <c r="S448" s="184">
        <v>0</v>
      </c>
      <c r="T448" s="184">
        <v>0</v>
      </c>
      <c r="U448" s="184">
        <v>0</v>
      </c>
      <c r="V448" s="184">
        <v>0</v>
      </c>
      <c r="W448" s="184">
        <v>1</v>
      </c>
      <c r="X448" s="184">
        <v>0</v>
      </c>
      <c r="Y448" s="184">
        <v>0</v>
      </c>
      <c r="Z448" s="184">
        <v>0</v>
      </c>
      <c r="AA448" s="184">
        <v>0</v>
      </c>
      <c r="AB448" s="184">
        <v>0</v>
      </c>
      <c r="AC448" s="185">
        <v>48</v>
      </c>
      <c r="AD448" s="185" t="s">
        <v>24</v>
      </c>
      <c r="AE448" s="184">
        <v>0</v>
      </c>
      <c r="AF448" s="185">
        <v>0</v>
      </c>
      <c r="AG448" s="184">
        <v>0</v>
      </c>
      <c r="AH448" s="185">
        <v>0</v>
      </c>
      <c r="AI448" s="184">
        <v>0</v>
      </c>
      <c r="AJ448" s="643">
        <v>0</v>
      </c>
    </row>
    <row r="449" spans="1:36" x14ac:dyDescent="0.2">
      <c r="A449" s="440" t="s">
        <v>47</v>
      </c>
      <c r="B449" s="642">
        <v>0</v>
      </c>
      <c r="C449" s="184">
        <v>0</v>
      </c>
      <c r="D449" s="184">
        <v>0</v>
      </c>
      <c r="E449" s="184">
        <v>0</v>
      </c>
      <c r="F449" s="184">
        <v>0</v>
      </c>
      <c r="G449" s="184">
        <v>0</v>
      </c>
      <c r="H449" s="184">
        <v>0</v>
      </c>
      <c r="I449" s="184">
        <v>0</v>
      </c>
      <c r="J449" s="184">
        <v>0</v>
      </c>
      <c r="K449" s="184">
        <v>0</v>
      </c>
      <c r="L449" s="184">
        <v>0</v>
      </c>
      <c r="M449" s="654" t="s">
        <v>24</v>
      </c>
      <c r="N449" s="670" t="s">
        <v>47</v>
      </c>
      <c r="O449" s="642">
        <v>0</v>
      </c>
      <c r="P449" s="184">
        <v>0</v>
      </c>
      <c r="Q449" s="184">
        <v>0</v>
      </c>
      <c r="R449" s="184">
        <v>0</v>
      </c>
      <c r="S449" s="184">
        <v>0</v>
      </c>
      <c r="T449" s="184">
        <v>0</v>
      </c>
      <c r="U449" s="184">
        <v>0</v>
      </c>
      <c r="V449" s="184">
        <v>0</v>
      </c>
      <c r="W449" s="184">
        <v>0</v>
      </c>
      <c r="X449" s="184">
        <v>0</v>
      </c>
      <c r="Y449" s="184">
        <v>0</v>
      </c>
      <c r="Z449" s="184">
        <v>0</v>
      </c>
      <c r="AA449" s="184">
        <v>0</v>
      </c>
      <c r="AB449" s="184">
        <v>0</v>
      </c>
      <c r="AC449" s="185" t="s">
        <v>24</v>
      </c>
      <c r="AD449" s="185" t="s">
        <v>24</v>
      </c>
      <c r="AE449" s="184">
        <v>0</v>
      </c>
      <c r="AF449" s="185">
        <v>0</v>
      </c>
      <c r="AG449" s="184">
        <v>0</v>
      </c>
      <c r="AH449" s="185">
        <v>0</v>
      </c>
      <c r="AI449" s="184">
        <v>0</v>
      </c>
      <c r="AJ449" s="643">
        <v>0</v>
      </c>
    </row>
    <row r="450" spans="1:36" x14ac:dyDescent="0.2">
      <c r="A450" s="440" t="s">
        <v>49</v>
      </c>
      <c r="B450" s="642">
        <v>1</v>
      </c>
      <c r="C450" s="184">
        <v>0</v>
      </c>
      <c r="D450" s="184">
        <v>1</v>
      </c>
      <c r="E450" s="184">
        <v>0</v>
      </c>
      <c r="F450" s="184">
        <v>0</v>
      </c>
      <c r="G450" s="184">
        <v>0</v>
      </c>
      <c r="H450" s="184">
        <v>0</v>
      </c>
      <c r="I450" s="184">
        <v>0</v>
      </c>
      <c r="J450" s="184">
        <v>0</v>
      </c>
      <c r="K450" s="184">
        <v>0</v>
      </c>
      <c r="L450" s="184">
        <v>0</v>
      </c>
      <c r="M450" s="654" t="s">
        <v>24</v>
      </c>
      <c r="N450" s="670" t="s">
        <v>49</v>
      </c>
      <c r="O450" s="642">
        <v>0</v>
      </c>
      <c r="P450" s="184">
        <v>0</v>
      </c>
      <c r="Q450" s="184">
        <v>0</v>
      </c>
      <c r="R450" s="184">
        <v>0</v>
      </c>
      <c r="S450" s="184">
        <v>0</v>
      </c>
      <c r="T450" s="184">
        <v>0</v>
      </c>
      <c r="U450" s="184">
        <v>1</v>
      </c>
      <c r="V450" s="184">
        <v>0</v>
      </c>
      <c r="W450" s="184">
        <v>0</v>
      </c>
      <c r="X450" s="184">
        <v>0</v>
      </c>
      <c r="Y450" s="184">
        <v>0</v>
      </c>
      <c r="Z450" s="184">
        <v>0</v>
      </c>
      <c r="AA450" s="184">
        <v>0</v>
      </c>
      <c r="AB450" s="184">
        <v>0</v>
      </c>
      <c r="AC450" s="185">
        <v>36</v>
      </c>
      <c r="AD450" s="185" t="s">
        <v>24</v>
      </c>
      <c r="AE450" s="184">
        <v>0</v>
      </c>
      <c r="AF450" s="185">
        <v>0</v>
      </c>
      <c r="AG450" s="184">
        <v>0</v>
      </c>
      <c r="AH450" s="185">
        <v>0</v>
      </c>
      <c r="AI450" s="184">
        <v>0</v>
      </c>
      <c r="AJ450" s="643">
        <v>0</v>
      </c>
    </row>
    <row r="451" spans="1:36" x14ac:dyDescent="0.2">
      <c r="A451" s="440" t="s">
        <v>41</v>
      </c>
      <c r="B451" s="642">
        <v>2</v>
      </c>
      <c r="C451" s="184">
        <v>0</v>
      </c>
      <c r="D451" s="184">
        <v>2</v>
      </c>
      <c r="E451" s="184">
        <v>0</v>
      </c>
      <c r="F451" s="184">
        <v>0</v>
      </c>
      <c r="G451" s="184">
        <v>0</v>
      </c>
      <c r="H451" s="184">
        <v>0</v>
      </c>
      <c r="I451" s="184">
        <v>0</v>
      </c>
      <c r="J451" s="184">
        <v>0</v>
      </c>
      <c r="K451" s="184">
        <v>0</v>
      </c>
      <c r="L451" s="184">
        <v>0</v>
      </c>
      <c r="M451" s="654" t="s">
        <v>24</v>
      </c>
      <c r="N451" s="670" t="s">
        <v>41</v>
      </c>
      <c r="O451" s="642">
        <v>0</v>
      </c>
      <c r="P451" s="184">
        <v>0</v>
      </c>
      <c r="Q451" s="184">
        <v>0</v>
      </c>
      <c r="R451" s="184">
        <v>0</v>
      </c>
      <c r="S451" s="184">
        <v>0</v>
      </c>
      <c r="T451" s="184">
        <v>0</v>
      </c>
      <c r="U451" s="184">
        <v>0</v>
      </c>
      <c r="V451" s="184">
        <v>1</v>
      </c>
      <c r="W451" s="184">
        <v>0</v>
      </c>
      <c r="X451" s="184">
        <v>1</v>
      </c>
      <c r="Y451" s="184">
        <v>0</v>
      </c>
      <c r="Z451" s="184">
        <v>0</v>
      </c>
      <c r="AA451" s="184">
        <v>0</v>
      </c>
      <c r="AB451" s="184">
        <v>0</v>
      </c>
      <c r="AC451" s="185">
        <v>48.2</v>
      </c>
      <c r="AD451" s="185" t="s">
        <v>24</v>
      </c>
      <c r="AE451" s="184">
        <v>0</v>
      </c>
      <c r="AF451" s="185">
        <v>0</v>
      </c>
      <c r="AG451" s="184">
        <v>0</v>
      </c>
      <c r="AH451" s="185">
        <v>0</v>
      </c>
      <c r="AI451" s="184">
        <v>0</v>
      </c>
      <c r="AJ451" s="643">
        <v>0</v>
      </c>
    </row>
    <row r="452" spans="1:36" x14ac:dyDescent="0.2">
      <c r="A452" s="440" t="s">
        <v>52</v>
      </c>
      <c r="B452" s="642">
        <v>0</v>
      </c>
      <c r="C452" s="184">
        <v>0</v>
      </c>
      <c r="D452" s="184">
        <v>0</v>
      </c>
      <c r="E452" s="184">
        <v>0</v>
      </c>
      <c r="F452" s="184">
        <v>0</v>
      </c>
      <c r="G452" s="184">
        <v>0</v>
      </c>
      <c r="H452" s="184">
        <v>0</v>
      </c>
      <c r="I452" s="184">
        <v>0</v>
      </c>
      <c r="J452" s="184">
        <v>0</v>
      </c>
      <c r="K452" s="184">
        <v>0</v>
      </c>
      <c r="L452" s="184">
        <v>0</v>
      </c>
      <c r="M452" s="654" t="s">
        <v>24</v>
      </c>
      <c r="N452" s="670" t="s">
        <v>52</v>
      </c>
      <c r="O452" s="642">
        <v>0</v>
      </c>
      <c r="P452" s="184">
        <v>0</v>
      </c>
      <c r="Q452" s="184">
        <v>0</v>
      </c>
      <c r="R452" s="184">
        <v>0</v>
      </c>
      <c r="S452" s="184">
        <v>0</v>
      </c>
      <c r="T452" s="184">
        <v>0</v>
      </c>
      <c r="U452" s="184">
        <v>0</v>
      </c>
      <c r="V452" s="184">
        <v>0</v>
      </c>
      <c r="W452" s="184">
        <v>0</v>
      </c>
      <c r="X452" s="184">
        <v>0</v>
      </c>
      <c r="Y452" s="184">
        <v>0</v>
      </c>
      <c r="Z452" s="184">
        <v>0</v>
      </c>
      <c r="AA452" s="184">
        <v>0</v>
      </c>
      <c r="AB452" s="184">
        <v>0</v>
      </c>
      <c r="AC452" s="185" t="s">
        <v>24</v>
      </c>
      <c r="AD452" s="185" t="s">
        <v>24</v>
      </c>
      <c r="AE452" s="184">
        <v>0</v>
      </c>
      <c r="AF452" s="185">
        <v>0</v>
      </c>
      <c r="AG452" s="184">
        <v>0</v>
      </c>
      <c r="AH452" s="185">
        <v>0</v>
      </c>
      <c r="AI452" s="184">
        <v>0</v>
      </c>
      <c r="AJ452" s="643">
        <v>0</v>
      </c>
    </row>
    <row r="453" spans="1:36" x14ac:dyDescent="0.2">
      <c r="A453" s="440" t="s">
        <v>54</v>
      </c>
      <c r="B453" s="642">
        <v>0</v>
      </c>
      <c r="C453" s="184">
        <v>0</v>
      </c>
      <c r="D453" s="184">
        <v>0</v>
      </c>
      <c r="E453" s="184">
        <v>0</v>
      </c>
      <c r="F453" s="184">
        <v>0</v>
      </c>
      <c r="G453" s="184">
        <v>0</v>
      </c>
      <c r="H453" s="184">
        <v>0</v>
      </c>
      <c r="I453" s="184">
        <v>0</v>
      </c>
      <c r="J453" s="184">
        <v>0</v>
      </c>
      <c r="K453" s="184">
        <v>0</v>
      </c>
      <c r="L453" s="184">
        <v>0</v>
      </c>
      <c r="M453" s="654" t="s">
        <v>24</v>
      </c>
      <c r="N453" s="670" t="s">
        <v>54</v>
      </c>
      <c r="O453" s="642">
        <v>0</v>
      </c>
      <c r="P453" s="184">
        <v>0</v>
      </c>
      <c r="Q453" s="184">
        <v>0</v>
      </c>
      <c r="R453" s="184">
        <v>0</v>
      </c>
      <c r="S453" s="184">
        <v>0</v>
      </c>
      <c r="T453" s="184">
        <v>0</v>
      </c>
      <c r="U453" s="184">
        <v>0</v>
      </c>
      <c r="V453" s="184">
        <v>0</v>
      </c>
      <c r="W453" s="184">
        <v>0</v>
      </c>
      <c r="X453" s="184">
        <v>0</v>
      </c>
      <c r="Y453" s="184">
        <v>0</v>
      </c>
      <c r="Z453" s="184">
        <v>0</v>
      </c>
      <c r="AA453" s="184">
        <v>0</v>
      </c>
      <c r="AB453" s="184">
        <v>0</v>
      </c>
      <c r="AC453" s="185" t="s">
        <v>24</v>
      </c>
      <c r="AD453" s="185" t="s">
        <v>24</v>
      </c>
      <c r="AE453" s="184">
        <v>0</v>
      </c>
      <c r="AF453" s="185">
        <v>0</v>
      </c>
      <c r="AG453" s="184">
        <v>0</v>
      </c>
      <c r="AH453" s="185">
        <v>0</v>
      </c>
      <c r="AI453" s="184">
        <v>0</v>
      </c>
      <c r="AJ453" s="643">
        <v>0</v>
      </c>
    </row>
    <row r="454" spans="1:36" x14ac:dyDescent="0.2">
      <c r="A454" s="440" t="s">
        <v>56</v>
      </c>
      <c r="B454" s="642">
        <v>0</v>
      </c>
      <c r="C454" s="184">
        <v>0</v>
      </c>
      <c r="D454" s="184">
        <v>0</v>
      </c>
      <c r="E454" s="184">
        <v>0</v>
      </c>
      <c r="F454" s="184">
        <v>0</v>
      </c>
      <c r="G454" s="184">
        <v>0</v>
      </c>
      <c r="H454" s="184">
        <v>0</v>
      </c>
      <c r="I454" s="184">
        <v>0</v>
      </c>
      <c r="J454" s="184">
        <v>0</v>
      </c>
      <c r="K454" s="184">
        <v>0</v>
      </c>
      <c r="L454" s="184">
        <v>0</v>
      </c>
      <c r="M454" s="654" t="s">
        <v>24</v>
      </c>
      <c r="N454" s="670" t="s">
        <v>56</v>
      </c>
      <c r="O454" s="642">
        <v>0</v>
      </c>
      <c r="P454" s="184">
        <v>0</v>
      </c>
      <c r="Q454" s="184">
        <v>0</v>
      </c>
      <c r="R454" s="184">
        <v>0</v>
      </c>
      <c r="S454" s="184">
        <v>0</v>
      </c>
      <c r="T454" s="184">
        <v>0</v>
      </c>
      <c r="U454" s="184">
        <v>0</v>
      </c>
      <c r="V454" s="184">
        <v>0</v>
      </c>
      <c r="W454" s="184">
        <v>0</v>
      </c>
      <c r="X454" s="184">
        <v>0</v>
      </c>
      <c r="Y454" s="184">
        <v>0</v>
      </c>
      <c r="Z454" s="184">
        <v>0</v>
      </c>
      <c r="AA454" s="184">
        <v>0</v>
      </c>
      <c r="AB454" s="184">
        <v>0</v>
      </c>
      <c r="AC454" s="185" t="s">
        <v>24</v>
      </c>
      <c r="AD454" s="185" t="s">
        <v>24</v>
      </c>
      <c r="AE454" s="184">
        <v>0</v>
      </c>
      <c r="AF454" s="185">
        <v>0</v>
      </c>
      <c r="AG454" s="184">
        <v>0</v>
      </c>
      <c r="AH454" s="185">
        <v>0</v>
      </c>
      <c r="AI454" s="184">
        <v>0</v>
      </c>
      <c r="AJ454" s="643">
        <v>0</v>
      </c>
    </row>
    <row r="455" spans="1:36" x14ac:dyDescent="0.2">
      <c r="A455" s="440" t="s">
        <v>43</v>
      </c>
      <c r="B455" s="642">
        <v>0</v>
      </c>
      <c r="C455" s="184">
        <v>0</v>
      </c>
      <c r="D455" s="184">
        <v>0</v>
      </c>
      <c r="E455" s="184">
        <v>0</v>
      </c>
      <c r="F455" s="184">
        <v>0</v>
      </c>
      <c r="G455" s="184">
        <v>0</v>
      </c>
      <c r="H455" s="184">
        <v>0</v>
      </c>
      <c r="I455" s="184">
        <v>0</v>
      </c>
      <c r="J455" s="184">
        <v>0</v>
      </c>
      <c r="K455" s="184">
        <v>0</v>
      </c>
      <c r="L455" s="184">
        <v>0</v>
      </c>
      <c r="M455" s="654" t="s">
        <v>24</v>
      </c>
      <c r="N455" s="670" t="s">
        <v>43</v>
      </c>
      <c r="O455" s="642">
        <v>0</v>
      </c>
      <c r="P455" s="184">
        <v>0</v>
      </c>
      <c r="Q455" s="184">
        <v>0</v>
      </c>
      <c r="R455" s="184">
        <v>0</v>
      </c>
      <c r="S455" s="184">
        <v>0</v>
      </c>
      <c r="T455" s="184">
        <v>0</v>
      </c>
      <c r="U455" s="184">
        <v>0</v>
      </c>
      <c r="V455" s="184">
        <v>0</v>
      </c>
      <c r="W455" s="184">
        <v>0</v>
      </c>
      <c r="X455" s="184">
        <v>0</v>
      </c>
      <c r="Y455" s="184">
        <v>0</v>
      </c>
      <c r="Z455" s="184">
        <v>0</v>
      </c>
      <c r="AA455" s="184">
        <v>0</v>
      </c>
      <c r="AB455" s="184">
        <v>0</v>
      </c>
      <c r="AC455" s="185" t="s">
        <v>24</v>
      </c>
      <c r="AD455" s="185" t="s">
        <v>24</v>
      </c>
      <c r="AE455" s="184">
        <v>0</v>
      </c>
      <c r="AF455" s="185">
        <v>0</v>
      </c>
      <c r="AG455" s="184">
        <v>0</v>
      </c>
      <c r="AH455" s="185">
        <v>0</v>
      </c>
      <c r="AI455" s="184">
        <v>0</v>
      </c>
      <c r="AJ455" s="643">
        <v>0</v>
      </c>
    </row>
    <row r="456" spans="1:36" x14ac:dyDescent="0.2">
      <c r="A456" s="440" t="s">
        <v>59</v>
      </c>
      <c r="B456" s="642">
        <v>0</v>
      </c>
      <c r="C456" s="184">
        <v>0</v>
      </c>
      <c r="D456" s="184">
        <v>0</v>
      </c>
      <c r="E456" s="184">
        <v>0</v>
      </c>
      <c r="F456" s="184">
        <v>0</v>
      </c>
      <c r="G456" s="184">
        <v>0</v>
      </c>
      <c r="H456" s="184">
        <v>0</v>
      </c>
      <c r="I456" s="184">
        <v>0</v>
      </c>
      <c r="J456" s="184">
        <v>0</v>
      </c>
      <c r="K456" s="184">
        <v>0</v>
      </c>
      <c r="L456" s="184">
        <v>0</v>
      </c>
      <c r="M456" s="654" t="s">
        <v>24</v>
      </c>
      <c r="N456" s="670" t="s">
        <v>59</v>
      </c>
      <c r="O456" s="642">
        <v>0</v>
      </c>
      <c r="P456" s="184">
        <v>0</v>
      </c>
      <c r="Q456" s="184">
        <v>0</v>
      </c>
      <c r="R456" s="184">
        <v>0</v>
      </c>
      <c r="S456" s="184">
        <v>0</v>
      </c>
      <c r="T456" s="184">
        <v>0</v>
      </c>
      <c r="U456" s="184">
        <v>0</v>
      </c>
      <c r="V456" s="184">
        <v>0</v>
      </c>
      <c r="W456" s="184">
        <v>0</v>
      </c>
      <c r="X456" s="184">
        <v>0</v>
      </c>
      <c r="Y456" s="184">
        <v>0</v>
      </c>
      <c r="Z456" s="184">
        <v>0</v>
      </c>
      <c r="AA456" s="184">
        <v>0</v>
      </c>
      <c r="AB456" s="184">
        <v>0</v>
      </c>
      <c r="AC456" s="185" t="s">
        <v>24</v>
      </c>
      <c r="AD456" s="185" t="s">
        <v>24</v>
      </c>
      <c r="AE456" s="184">
        <v>0</v>
      </c>
      <c r="AF456" s="185">
        <v>0</v>
      </c>
      <c r="AG456" s="184">
        <v>0</v>
      </c>
      <c r="AH456" s="185">
        <v>0</v>
      </c>
      <c r="AI456" s="184">
        <v>0</v>
      </c>
      <c r="AJ456" s="643">
        <v>0</v>
      </c>
    </row>
    <row r="457" spans="1:36" x14ac:dyDescent="0.2">
      <c r="A457" s="440" t="s">
        <v>61</v>
      </c>
      <c r="B457" s="642">
        <v>0</v>
      </c>
      <c r="C457" s="184">
        <v>0</v>
      </c>
      <c r="D457" s="184">
        <v>0</v>
      </c>
      <c r="E457" s="184">
        <v>0</v>
      </c>
      <c r="F457" s="184">
        <v>0</v>
      </c>
      <c r="G457" s="184">
        <v>0</v>
      </c>
      <c r="H457" s="184">
        <v>0</v>
      </c>
      <c r="I457" s="184">
        <v>0</v>
      </c>
      <c r="J457" s="184">
        <v>0</v>
      </c>
      <c r="K457" s="184">
        <v>0</v>
      </c>
      <c r="L457" s="184">
        <v>0</v>
      </c>
      <c r="M457" s="654" t="s">
        <v>24</v>
      </c>
      <c r="N457" s="670" t="s">
        <v>61</v>
      </c>
      <c r="O457" s="642">
        <v>0</v>
      </c>
      <c r="P457" s="184">
        <v>0</v>
      </c>
      <c r="Q457" s="184">
        <v>0</v>
      </c>
      <c r="R457" s="184">
        <v>0</v>
      </c>
      <c r="S457" s="184">
        <v>0</v>
      </c>
      <c r="T457" s="184">
        <v>0</v>
      </c>
      <c r="U457" s="184">
        <v>0</v>
      </c>
      <c r="V457" s="184">
        <v>0</v>
      </c>
      <c r="W457" s="184">
        <v>0</v>
      </c>
      <c r="X457" s="184">
        <v>0</v>
      </c>
      <c r="Y457" s="184">
        <v>0</v>
      </c>
      <c r="Z457" s="184">
        <v>0</v>
      </c>
      <c r="AA457" s="184">
        <v>0</v>
      </c>
      <c r="AB457" s="184">
        <v>0</v>
      </c>
      <c r="AC457" s="185" t="s">
        <v>24</v>
      </c>
      <c r="AD457" s="185" t="s">
        <v>24</v>
      </c>
      <c r="AE457" s="184">
        <v>0</v>
      </c>
      <c r="AF457" s="185">
        <v>0</v>
      </c>
      <c r="AG457" s="184">
        <v>0</v>
      </c>
      <c r="AH457" s="185">
        <v>0</v>
      </c>
      <c r="AI457" s="184">
        <v>0</v>
      </c>
      <c r="AJ457" s="643">
        <v>0</v>
      </c>
    </row>
    <row r="458" spans="1:36" x14ac:dyDescent="0.2">
      <c r="A458" s="440" t="s">
        <v>63</v>
      </c>
      <c r="B458" s="642">
        <v>1</v>
      </c>
      <c r="C458" s="184">
        <v>0</v>
      </c>
      <c r="D458" s="184">
        <v>1</v>
      </c>
      <c r="E458" s="184">
        <v>0</v>
      </c>
      <c r="F458" s="184">
        <v>0</v>
      </c>
      <c r="G458" s="184">
        <v>0</v>
      </c>
      <c r="H458" s="184">
        <v>0</v>
      </c>
      <c r="I458" s="184">
        <v>0</v>
      </c>
      <c r="J458" s="184">
        <v>0</v>
      </c>
      <c r="K458" s="184">
        <v>0</v>
      </c>
      <c r="L458" s="184">
        <v>0</v>
      </c>
      <c r="M458" s="654" t="s">
        <v>24</v>
      </c>
      <c r="N458" s="670" t="s">
        <v>63</v>
      </c>
      <c r="O458" s="642">
        <v>0</v>
      </c>
      <c r="P458" s="184">
        <v>0</v>
      </c>
      <c r="Q458" s="184">
        <v>0</v>
      </c>
      <c r="R458" s="184">
        <v>0</v>
      </c>
      <c r="S458" s="184">
        <v>0</v>
      </c>
      <c r="T458" s="184">
        <v>0</v>
      </c>
      <c r="U458" s="184">
        <v>0</v>
      </c>
      <c r="V458" s="184">
        <v>1</v>
      </c>
      <c r="W458" s="184">
        <v>0</v>
      </c>
      <c r="X458" s="184">
        <v>0</v>
      </c>
      <c r="Y458" s="184">
        <v>0</v>
      </c>
      <c r="Z458" s="184">
        <v>0</v>
      </c>
      <c r="AA458" s="184">
        <v>0</v>
      </c>
      <c r="AB458" s="184">
        <v>0</v>
      </c>
      <c r="AC458" s="185">
        <v>40.5</v>
      </c>
      <c r="AD458" s="185" t="s">
        <v>24</v>
      </c>
      <c r="AE458" s="184">
        <v>0</v>
      </c>
      <c r="AF458" s="185">
        <v>0</v>
      </c>
      <c r="AG458" s="184">
        <v>0</v>
      </c>
      <c r="AH458" s="185">
        <v>0</v>
      </c>
      <c r="AI458" s="184">
        <v>0</v>
      </c>
      <c r="AJ458" s="643">
        <v>0</v>
      </c>
    </row>
    <row r="459" spans="1:36" x14ac:dyDescent="0.2">
      <c r="A459" s="440" t="s">
        <v>44</v>
      </c>
      <c r="B459" s="642">
        <v>1</v>
      </c>
      <c r="C459" s="184">
        <v>0</v>
      </c>
      <c r="D459" s="184">
        <v>1</v>
      </c>
      <c r="E459" s="184">
        <v>0</v>
      </c>
      <c r="F459" s="184">
        <v>0</v>
      </c>
      <c r="G459" s="184">
        <v>0</v>
      </c>
      <c r="H459" s="184">
        <v>0</v>
      </c>
      <c r="I459" s="184">
        <v>0</v>
      </c>
      <c r="J459" s="184">
        <v>0</v>
      </c>
      <c r="K459" s="184">
        <v>0</v>
      </c>
      <c r="L459" s="184">
        <v>0</v>
      </c>
      <c r="M459" s="654" t="s">
        <v>24</v>
      </c>
      <c r="N459" s="670" t="s">
        <v>44</v>
      </c>
      <c r="O459" s="642">
        <v>0</v>
      </c>
      <c r="P459" s="184">
        <v>0</v>
      </c>
      <c r="Q459" s="184">
        <v>0</v>
      </c>
      <c r="R459" s="184">
        <v>0</v>
      </c>
      <c r="S459" s="184">
        <v>0</v>
      </c>
      <c r="T459" s="184">
        <v>0</v>
      </c>
      <c r="U459" s="184">
        <v>1</v>
      </c>
      <c r="V459" s="184">
        <v>0</v>
      </c>
      <c r="W459" s="184">
        <v>0</v>
      </c>
      <c r="X459" s="184">
        <v>0</v>
      </c>
      <c r="Y459" s="184">
        <v>0</v>
      </c>
      <c r="Z459" s="184">
        <v>0</v>
      </c>
      <c r="AA459" s="184">
        <v>0</v>
      </c>
      <c r="AB459" s="184">
        <v>0</v>
      </c>
      <c r="AC459" s="185">
        <v>37.200000000000003</v>
      </c>
      <c r="AD459" s="185" t="s">
        <v>24</v>
      </c>
      <c r="AE459" s="184">
        <v>0</v>
      </c>
      <c r="AF459" s="185">
        <v>0</v>
      </c>
      <c r="AG459" s="184">
        <v>0</v>
      </c>
      <c r="AH459" s="185">
        <v>0</v>
      </c>
      <c r="AI459" s="184">
        <v>0</v>
      </c>
      <c r="AJ459" s="643">
        <v>0</v>
      </c>
    </row>
    <row r="460" spans="1:36" x14ac:dyDescent="0.2">
      <c r="A460" s="440" t="s">
        <v>66</v>
      </c>
      <c r="B460" s="642">
        <v>0</v>
      </c>
      <c r="C460" s="184">
        <v>0</v>
      </c>
      <c r="D460" s="184">
        <v>0</v>
      </c>
      <c r="E460" s="184">
        <v>0</v>
      </c>
      <c r="F460" s="184">
        <v>0</v>
      </c>
      <c r="G460" s="184">
        <v>0</v>
      </c>
      <c r="H460" s="184">
        <v>0</v>
      </c>
      <c r="I460" s="184">
        <v>0</v>
      </c>
      <c r="J460" s="184">
        <v>0</v>
      </c>
      <c r="K460" s="184">
        <v>0</v>
      </c>
      <c r="L460" s="184">
        <v>0</v>
      </c>
      <c r="M460" s="654" t="s">
        <v>24</v>
      </c>
      <c r="N460" s="670" t="s">
        <v>66</v>
      </c>
      <c r="O460" s="642">
        <v>0</v>
      </c>
      <c r="P460" s="184">
        <v>0</v>
      </c>
      <c r="Q460" s="184">
        <v>0</v>
      </c>
      <c r="R460" s="184">
        <v>0</v>
      </c>
      <c r="S460" s="184">
        <v>0</v>
      </c>
      <c r="T460" s="184">
        <v>0</v>
      </c>
      <c r="U460" s="184">
        <v>0</v>
      </c>
      <c r="V460" s="184">
        <v>0</v>
      </c>
      <c r="W460" s="184">
        <v>0</v>
      </c>
      <c r="X460" s="184">
        <v>0</v>
      </c>
      <c r="Y460" s="184">
        <v>0</v>
      </c>
      <c r="Z460" s="184">
        <v>0</v>
      </c>
      <c r="AA460" s="184">
        <v>0</v>
      </c>
      <c r="AB460" s="184">
        <v>0</v>
      </c>
      <c r="AC460" s="185" t="s">
        <v>24</v>
      </c>
      <c r="AD460" s="185" t="s">
        <v>24</v>
      </c>
      <c r="AE460" s="184">
        <v>0</v>
      </c>
      <c r="AF460" s="185">
        <v>0</v>
      </c>
      <c r="AG460" s="184">
        <v>0</v>
      </c>
      <c r="AH460" s="185">
        <v>0</v>
      </c>
      <c r="AI460" s="184">
        <v>0</v>
      </c>
      <c r="AJ460" s="643">
        <v>0</v>
      </c>
    </row>
    <row r="461" spans="1:36" x14ac:dyDescent="0.2">
      <c r="A461" s="440" t="s">
        <v>68</v>
      </c>
      <c r="B461" s="642">
        <v>0</v>
      </c>
      <c r="C461" s="184">
        <v>0</v>
      </c>
      <c r="D461" s="184">
        <v>0</v>
      </c>
      <c r="E461" s="184">
        <v>0</v>
      </c>
      <c r="F461" s="184">
        <v>0</v>
      </c>
      <c r="G461" s="184">
        <v>0</v>
      </c>
      <c r="H461" s="184">
        <v>0</v>
      </c>
      <c r="I461" s="184">
        <v>0</v>
      </c>
      <c r="J461" s="184">
        <v>0</v>
      </c>
      <c r="K461" s="184">
        <v>0</v>
      </c>
      <c r="L461" s="184">
        <v>0</v>
      </c>
      <c r="M461" s="654" t="s">
        <v>24</v>
      </c>
      <c r="N461" s="670" t="s">
        <v>68</v>
      </c>
      <c r="O461" s="642">
        <v>0</v>
      </c>
      <c r="P461" s="184">
        <v>0</v>
      </c>
      <c r="Q461" s="184">
        <v>0</v>
      </c>
      <c r="R461" s="184">
        <v>0</v>
      </c>
      <c r="S461" s="184">
        <v>0</v>
      </c>
      <c r="T461" s="184">
        <v>0</v>
      </c>
      <c r="U461" s="184">
        <v>0</v>
      </c>
      <c r="V461" s="184">
        <v>0</v>
      </c>
      <c r="W461" s="184">
        <v>0</v>
      </c>
      <c r="X461" s="184">
        <v>0</v>
      </c>
      <c r="Y461" s="184">
        <v>0</v>
      </c>
      <c r="Z461" s="184">
        <v>0</v>
      </c>
      <c r="AA461" s="184">
        <v>0</v>
      </c>
      <c r="AB461" s="184">
        <v>0</v>
      </c>
      <c r="AC461" s="185" t="s">
        <v>24</v>
      </c>
      <c r="AD461" s="185" t="s">
        <v>24</v>
      </c>
      <c r="AE461" s="184">
        <v>0</v>
      </c>
      <c r="AF461" s="185">
        <v>0</v>
      </c>
      <c r="AG461" s="184">
        <v>0</v>
      </c>
      <c r="AH461" s="185">
        <v>0</v>
      </c>
      <c r="AI461" s="184">
        <v>0</v>
      </c>
      <c r="AJ461" s="643">
        <v>0</v>
      </c>
    </row>
    <row r="462" spans="1:36" x14ac:dyDescent="0.2">
      <c r="A462" s="440" t="s">
        <v>70</v>
      </c>
      <c r="B462" s="642">
        <v>0</v>
      </c>
      <c r="C462" s="184">
        <v>0</v>
      </c>
      <c r="D462" s="184">
        <v>0</v>
      </c>
      <c r="E462" s="184">
        <v>0</v>
      </c>
      <c r="F462" s="184">
        <v>0</v>
      </c>
      <c r="G462" s="184">
        <v>0</v>
      </c>
      <c r="H462" s="184">
        <v>0</v>
      </c>
      <c r="I462" s="184">
        <v>0</v>
      </c>
      <c r="J462" s="184">
        <v>0</v>
      </c>
      <c r="K462" s="184">
        <v>0</v>
      </c>
      <c r="L462" s="184">
        <v>0</v>
      </c>
      <c r="M462" s="654" t="s">
        <v>24</v>
      </c>
      <c r="N462" s="670" t="s">
        <v>70</v>
      </c>
      <c r="O462" s="642">
        <v>0</v>
      </c>
      <c r="P462" s="184">
        <v>0</v>
      </c>
      <c r="Q462" s="184">
        <v>0</v>
      </c>
      <c r="R462" s="184">
        <v>0</v>
      </c>
      <c r="S462" s="184">
        <v>0</v>
      </c>
      <c r="T462" s="184">
        <v>0</v>
      </c>
      <c r="U462" s="184">
        <v>0</v>
      </c>
      <c r="V462" s="184">
        <v>0</v>
      </c>
      <c r="W462" s="184">
        <v>0</v>
      </c>
      <c r="X462" s="184">
        <v>0</v>
      </c>
      <c r="Y462" s="184">
        <v>0</v>
      </c>
      <c r="Z462" s="184">
        <v>0</v>
      </c>
      <c r="AA462" s="184">
        <v>0</v>
      </c>
      <c r="AB462" s="184">
        <v>0</v>
      </c>
      <c r="AC462" s="185" t="s">
        <v>24</v>
      </c>
      <c r="AD462" s="185" t="s">
        <v>24</v>
      </c>
      <c r="AE462" s="184">
        <v>0</v>
      </c>
      <c r="AF462" s="185">
        <v>0</v>
      </c>
      <c r="AG462" s="184">
        <v>0</v>
      </c>
      <c r="AH462" s="185">
        <v>0</v>
      </c>
      <c r="AI462" s="184">
        <v>0</v>
      </c>
      <c r="AJ462" s="643">
        <v>0</v>
      </c>
    </row>
    <row r="463" spans="1:36" x14ac:dyDescent="0.2">
      <c r="A463" s="440" t="s">
        <v>46</v>
      </c>
      <c r="B463" s="642">
        <v>0</v>
      </c>
      <c r="C463" s="184">
        <v>0</v>
      </c>
      <c r="D463" s="184">
        <v>0</v>
      </c>
      <c r="E463" s="184">
        <v>0</v>
      </c>
      <c r="F463" s="184">
        <v>0</v>
      </c>
      <c r="G463" s="184">
        <v>0</v>
      </c>
      <c r="H463" s="184">
        <v>0</v>
      </c>
      <c r="I463" s="184">
        <v>0</v>
      </c>
      <c r="J463" s="184">
        <v>0</v>
      </c>
      <c r="K463" s="184">
        <v>0</v>
      </c>
      <c r="L463" s="184">
        <v>0</v>
      </c>
      <c r="M463" s="654" t="s">
        <v>24</v>
      </c>
      <c r="N463" s="670" t="s">
        <v>46</v>
      </c>
      <c r="O463" s="642">
        <v>0</v>
      </c>
      <c r="P463" s="184">
        <v>0</v>
      </c>
      <c r="Q463" s="184">
        <v>0</v>
      </c>
      <c r="R463" s="184">
        <v>0</v>
      </c>
      <c r="S463" s="184">
        <v>0</v>
      </c>
      <c r="T463" s="184">
        <v>0</v>
      </c>
      <c r="U463" s="184">
        <v>0</v>
      </c>
      <c r="V463" s="184">
        <v>0</v>
      </c>
      <c r="W463" s="184">
        <v>0</v>
      </c>
      <c r="X463" s="184">
        <v>0</v>
      </c>
      <c r="Y463" s="184">
        <v>0</v>
      </c>
      <c r="Z463" s="184">
        <v>0</v>
      </c>
      <c r="AA463" s="184">
        <v>0</v>
      </c>
      <c r="AB463" s="184">
        <v>0</v>
      </c>
      <c r="AC463" s="185" t="s">
        <v>24</v>
      </c>
      <c r="AD463" s="185" t="s">
        <v>24</v>
      </c>
      <c r="AE463" s="184">
        <v>0</v>
      </c>
      <c r="AF463" s="185">
        <v>0</v>
      </c>
      <c r="AG463" s="184">
        <v>0</v>
      </c>
      <c r="AH463" s="185">
        <v>0</v>
      </c>
      <c r="AI463" s="184">
        <v>0</v>
      </c>
      <c r="AJ463" s="643">
        <v>0</v>
      </c>
    </row>
    <row r="464" spans="1:36" x14ac:dyDescent="0.2">
      <c r="A464" s="440" t="s">
        <v>73</v>
      </c>
      <c r="B464" s="642">
        <v>1</v>
      </c>
      <c r="C464" s="184">
        <v>0</v>
      </c>
      <c r="D464" s="184">
        <v>1</v>
      </c>
      <c r="E464" s="184">
        <v>0</v>
      </c>
      <c r="F464" s="184">
        <v>0</v>
      </c>
      <c r="G464" s="184">
        <v>0</v>
      </c>
      <c r="H464" s="184">
        <v>0</v>
      </c>
      <c r="I464" s="184">
        <v>0</v>
      </c>
      <c r="J464" s="184">
        <v>0</v>
      </c>
      <c r="K464" s="184">
        <v>0</v>
      </c>
      <c r="L464" s="184">
        <v>0</v>
      </c>
      <c r="M464" s="654" t="s">
        <v>24</v>
      </c>
      <c r="N464" s="670" t="s">
        <v>73</v>
      </c>
      <c r="O464" s="642">
        <v>0</v>
      </c>
      <c r="P464" s="184">
        <v>0</v>
      </c>
      <c r="Q464" s="184">
        <v>0</v>
      </c>
      <c r="R464" s="184">
        <v>0</v>
      </c>
      <c r="S464" s="184">
        <v>0</v>
      </c>
      <c r="T464" s="184">
        <v>0</v>
      </c>
      <c r="U464" s="184">
        <v>0</v>
      </c>
      <c r="V464" s="184">
        <v>1</v>
      </c>
      <c r="W464" s="184">
        <v>0</v>
      </c>
      <c r="X464" s="184">
        <v>0</v>
      </c>
      <c r="Y464" s="184">
        <v>0</v>
      </c>
      <c r="Z464" s="184">
        <v>0</v>
      </c>
      <c r="AA464" s="184">
        <v>0</v>
      </c>
      <c r="AB464" s="184">
        <v>0</v>
      </c>
      <c r="AC464" s="185">
        <v>43.5</v>
      </c>
      <c r="AD464" s="185" t="s">
        <v>24</v>
      </c>
      <c r="AE464" s="184">
        <v>0</v>
      </c>
      <c r="AF464" s="185">
        <v>0</v>
      </c>
      <c r="AG464" s="184">
        <v>0</v>
      </c>
      <c r="AH464" s="185">
        <v>0</v>
      </c>
      <c r="AI464" s="184">
        <v>0</v>
      </c>
      <c r="AJ464" s="643">
        <v>0</v>
      </c>
    </row>
    <row r="465" spans="1:36" x14ac:dyDescent="0.2">
      <c r="A465" s="440" t="s">
        <v>75</v>
      </c>
      <c r="B465" s="642">
        <v>2</v>
      </c>
      <c r="C465" s="184">
        <v>0</v>
      </c>
      <c r="D465" s="184">
        <v>2</v>
      </c>
      <c r="E465" s="184">
        <v>0</v>
      </c>
      <c r="F465" s="184">
        <v>0</v>
      </c>
      <c r="G465" s="184">
        <v>0</v>
      </c>
      <c r="H465" s="184">
        <v>0</v>
      </c>
      <c r="I465" s="184">
        <v>0</v>
      </c>
      <c r="J465" s="184">
        <v>0</v>
      </c>
      <c r="K465" s="184">
        <v>0</v>
      </c>
      <c r="L465" s="184">
        <v>0</v>
      </c>
      <c r="M465" s="654" t="s">
        <v>24</v>
      </c>
      <c r="N465" s="670" t="s">
        <v>75</v>
      </c>
      <c r="O465" s="642">
        <v>0</v>
      </c>
      <c r="P465" s="184">
        <v>0</v>
      </c>
      <c r="Q465" s="184">
        <v>0</v>
      </c>
      <c r="R465" s="184">
        <v>0</v>
      </c>
      <c r="S465" s="184">
        <v>0</v>
      </c>
      <c r="T465" s="184">
        <v>0</v>
      </c>
      <c r="U465" s="184">
        <v>0</v>
      </c>
      <c r="V465" s="184">
        <v>1</v>
      </c>
      <c r="W465" s="184">
        <v>1</v>
      </c>
      <c r="X465" s="184">
        <v>0</v>
      </c>
      <c r="Y465" s="184">
        <v>0</v>
      </c>
      <c r="Z465" s="184">
        <v>0</v>
      </c>
      <c r="AA465" s="184">
        <v>0</v>
      </c>
      <c r="AB465" s="184">
        <v>0</v>
      </c>
      <c r="AC465" s="185">
        <v>45.6</v>
      </c>
      <c r="AD465" s="185" t="s">
        <v>24</v>
      </c>
      <c r="AE465" s="184">
        <v>0</v>
      </c>
      <c r="AF465" s="185">
        <v>0</v>
      </c>
      <c r="AG465" s="184">
        <v>0</v>
      </c>
      <c r="AH465" s="185">
        <v>0</v>
      </c>
      <c r="AI465" s="184">
        <v>0</v>
      </c>
      <c r="AJ465" s="643">
        <v>0</v>
      </c>
    </row>
    <row r="466" spans="1:36" ht="13.5" thickBot="1" x14ac:dyDescent="0.25">
      <c r="A466" s="440" t="s">
        <v>77</v>
      </c>
      <c r="B466" s="644">
        <v>1</v>
      </c>
      <c r="C466" s="188">
        <v>0</v>
      </c>
      <c r="D466" s="188">
        <v>1</v>
      </c>
      <c r="E466" s="188">
        <v>0</v>
      </c>
      <c r="F466" s="188">
        <v>0</v>
      </c>
      <c r="G466" s="188">
        <v>0</v>
      </c>
      <c r="H466" s="188">
        <v>0</v>
      </c>
      <c r="I466" s="188">
        <v>0</v>
      </c>
      <c r="J466" s="188">
        <v>0</v>
      </c>
      <c r="K466" s="188">
        <v>0</v>
      </c>
      <c r="L466" s="188">
        <v>0</v>
      </c>
      <c r="M466" s="655" t="s">
        <v>24</v>
      </c>
      <c r="N466" s="670" t="s">
        <v>77</v>
      </c>
      <c r="O466" s="644">
        <v>0</v>
      </c>
      <c r="P466" s="188">
        <v>0</v>
      </c>
      <c r="Q466" s="188">
        <v>0</v>
      </c>
      <c r="R466" s="188">
        <v>0</v>
      </c>
      <c r="S466" s="188">
        <v>0</v>
      </c>
      <c r="T466" s="188">
        <v>0</v>
      </c>
      <c r="U466" s="188">
        <v>1</v>
      </c>
      <c r="V466" s="188">
        <v>0</v>
      </c>
      <c r="W466" s="188">
        <v>0</v>
      </c>
      <c r="X466" s="188">
        <v>0</v>
      </c>
      <c r="Y466" s="188">
        <v>0</v>
      </c>
      <c r="Z466" s="188">
        <v>0</v>
      </c>
      <c r="AA466" s="188">
        <v>0</v>
      </c>
      <c r="AB466" s="188">
        <v>0</v>
      </c>
      <c r="AC466" s="189">
        <v>37.200000000000003</v>
      </c>
      <c r="AD466" s="189" t="s">
        <v>24</v>
      </c>
      <c r="AE466" s="188">
        <v>0</v>
      </c>
      <c r="AF466" s="189">
        <v>0</v>
      </c>
      <c r="AG466" s="188">
        <v>0</v>
      </c>
      <c r="AH466" s="189">
        <v>0</v>
      </c>
      <c r="AI466" s="188">
        <v>0</v>
      </c>
      <c r="AJ466" s="645">
        <v>0</v>
      </c>
    </row>
    <row r="467" spans="1:36" x14ac:dyDescent="0.2">
      <c r="A467" s="440" t="s">
        <v>48</v>
      </c>
      <c r="B467" s="642">
        <v>0</v>
      </c>
      <c r="C467" s="184">
        <v>0</v>
      </c>
      <c r="D467" s="184">
        <v>0</v>
      </c>
      <c r="E467" s="184">
        <v>0</v>
      </c>
      <c r="F467" s="184">
        <v>0</v>
      </c>
      <c r="G467" s="184">
        <v>0</v>
      </c>
      <c r="H467" s="184">
        <v>0</v>
      </c>
      <c r="I467" s="184">
        <v>0</v>
      </c>
      <c r="J467" s="184">
        <v>0</v>
      </c>
      <c r="K467" s="184">
        <v>0</v>
      </c>
      <c r="L467" s="184">
        <v>0</v>
      </c>
      <c r="M467" s="654" t="s">
        <v>24</v>
      </c>
      <c r="N467" s="670" t="s">
        <v>48</v>
      </c>
      <c r="O467" s="642">
        <v>0</v>
      </c>
      <c r="P467" s="184">
        <v>0</v>
      </c>
      <c r="Q467" s="184">
        <v>0</v>
      </c>
      <c r="R467" s="184">
        <v>0</v>
      </c>
      <c r="S467" s="184">
        <v>0</v>
      </c>
      <c r="T467" s="184">
        <v>0</v>
      </c>
      <c r="U467" s="184">
        <v>0</v>
      </c>
      <c r="V467" s="184">
        <v>0</v>
      </c>
      <c r="W467" s="184">
        <v>0</v>
      </c>
      <c r="X467" s="184">
        <v>0</v>
      </c>
      <c r="Y467" s="184">
        <v>0</v>
      </c>
      <c r="Z467" s="184">
        <v>0</v>
      </c>
      <c r="AA467" s="184">
        <v>0</v>
      </c>
      <c r="AB467" s="184">
        <v>0</v>
      </c>
      <c r="AC467" s="185" t="s">
        <v>24</v>
      </c>
      <c r="AD467" s="185" t="s">
        <v>24</v>
      </c>
      <c r="AE467" s="184">
        <v>0</v>
      </c>
      <c r="AF467" s="185">
        <v>0</v>
      </c>
      <c r="AG467" s="184">
        <v>0</v>
      </c>
      <c r="AH467" s="185">
        <v>0</v>
      </c>
      <c r="AI467" s="184">
        <v>0</v>
      </c>
      <c r="AJ467" s="643">
        <v>0</v>
      </c>
    </row>
    <row r="468" spans="1:36" x14ac:dyDescent="0.2">
      <c r="A468" s="440" t="s">
        <v>79</v>
      </c>
      <c r="B468" s="642">
        <v>3</v>
      </c>
      <c r="C468" s="184">
        <v>0</v>
      </c>
      <c r="D468" s="184">
        <v>3</v>
      </c>
      <c r="E468" s="184">
        <v>0</v>
      </c>
      <c r="F468" s="184">
        <v>0</v>
      </c>
      <c r="G468" s="184">
        <v>0</v>
      </c>
      <c r="H468" s="184">
        <v>0</v>
      </c>
      <c r="I468" s="184">
        <v>0</v>
      </c>
      <c r="J468" s="184">
        <v>0</v>
      </c>
      <c r="K468" s="184">
        <v>0</v>
      </c>
      <c r="L468" s="184">
        <v>0</v>
      </c>
      <c r="M468" s="654" t="s">
        <v>24</v>
      </c>
      <c r="N468" s="670" t="s">
        <v>79</v>
      </c>
      <c r="O468" s="642">
        <v>0</v>
      </c>
      <c r="P468" s="184">
        <v>0</v>
      </c>
      <c r="Q468" s="184">
        <v>0</v>
      </c>
      <c r="R468" s="184">
        <v>0</v>
      </c>
      <c r="S468" s="184">
        <v>0</v>
      </c>
      <c r="T468" s="184">
        <v>0</v>
      </c>
      <c r="U468" s="184">
        <v>1</v>
      </c>
      <c r="V468" s="184">
        <v>2</v>
      </c>
      <c r="W468" s="184">
        <v>0</v>
      </c>
      <c r="X468" s="184">
        <v>0</v>
      </c>
      <c r="Y468" s="184">
        <v>0</v>
      </c>
      <c r="Z468" s="184">
        <v>0</v>
      </c>
      <c r="AA468" s="184">
        <v>0</v>
      </c>
      <c r="AB468" s="184">
        <v>0</v>
      </c>
      <c r="AC468" s="185">
        <v>41.5</v>
      </c>
      <c r="AD468" s="185" t="s">
        <v>24</v>
      </c>
      <c r="AE468" s="184">
        <v>0</v>
      </c>
      <c r="AF468" s="185">
        <v>0</v>
      </c>
      <c r="AG468" s="184">
        <v>0</v>
      </c>
      <c r="AH468" s="185">
        <v>0</v>
      </c>
      <c r="AI468" s="184">
        <v>0</v>
      </c>
      <c r="AJ468" s="643">
        <v>0</v>
      </c>
    </row>
    <row r="469" spans="1:36" x14ac:dyDescent="0.2">
      <c r="A469" s="440" t="s">
        <v>80</v>
      </c>
      <c r="B469" s="642">
        <v>1</v>
      </c>
      <c r="C469" s="184">
        <v>0</v>
      </c>
      <c r="D469" s="184">
        <v>1</v>
      </c>
      <c r="E469" s="184">
        <v>0</v>
      </c>
      <c r="F469" s="184">
        <v>0</v>
      </c>
      <c r="G469" s="184">
        <v>0</v>
      </c>
      <c r="H469" s="184">
        <v>0</v>
      </c>
      <c r="I469" s="184">
        <v>0</v>
      </c>
      <c r="J469" s="184">
        <v>0</v>
      </c>
      <c r="K469" s="184">
        <v>0</v>
      </c>
      <c r="L469" s="184">
        <v>0</v>
      </c>
      <c r="M469" s="654" t="s">
        <v>24</v>
      </c>
      <c r="N469" s="670" t="s">
        <v>80</v>
      </c>
      <c r="O469" s="642">
        <v>0</v>
      </c>
      <c r="P469" s="184">
        <v>0</v>
      </c>
      <c r="Q469" s="184">
        <v>0</v>
      </c>
      <c r="R469" s="184">
        <v>0</v>
      </c>
      <c r="S469" s="184">
        <v>0</v>
      </c>
      <c r="T469" s="184">
        <v>0</v>
      </c>
      <c r="U469" s="184">
        <v>1</v>
      </c>
      <c r="V469" s="184">
        <v>0</v>
      </c>
      <c r="W469" s="184">
        <v>0</v>
      </c>
      <c r="X469" s="184">
        <v>0</v>
      </c>
      <c r="Y469" s="184">
        <v>0</v>
      </c>
      <c r="Z469" s="184">
        <v>0</v>
      </c>
      <c r="AA469" s="184">
        <v>0</v>
      </c>
      <c r="AB469" s="184">
        <v>0</v>
      </c>
      <c r="AC469" s="185">
        <v>36.9</v>
      </c>
      <c r="AD469" s="185" t="s">
        <v>24</v>
      </c>
      <c r="AE469" s="184">
        <v>0</v>
      </c>
      <c r="AF469" s="185">
        <v>0</v>
      </c>
      <c r="AG469" s="184">
        <v>0</v>
      </c>
      <c r="AH469" s="185">
        <v>0</v>
      </c>
      <c r="AI469" s="184">
        <v>0</v>
      </c>
      <c r="AJ469" s="643">
        <v>0</v>
      </c>
    </row>
    <row r="470" spans="1:36" ht="13.5" thickBot="1" x14ac:dyDescent="0.25">
      <c r="A470" s="440" t="s">
        <v>81</v>
      </c>
      <c r="B470" s="644">
        <v>6</v>
      </c>
      <c r="C470" s="188">
        <v>0</v>
      </c>
      <c r="D470" s="188">
        <v>6</v>
      </c>
      <c r="E470" s="188">
        <v>0</v>
      </c>
      <c r="F470" s="188">
        <v>0</v>
      </c>
      <c r="G470" s="188">
        <v>0</v>
      </c>
      <c r="H470" s="188">
        <v>0</v>
      </c>
      <c r="I470" s="188">
        <v>0</v>
      </c>
      <c r="J470" s="188">
        <v>0</v>
      </c>
      <c r="K470" s="188">
        <v>0</v>
      </c>
      <c r="L470" s="188">
        <v>0</v>
      </c>
      <c r="M470" s="655" t="s">
        <v>24</v>
      </c>
      <c r="N470" s="670" t="s">
        <v>81</v>
      </c>
      <c r="O470" s="644">
        <v>0</v>
      </c>
      <c r="P470" s="188">
        <v>0</v>
      </c>
      <c r="Q470" s="188">
        <v>0</v>
      </c>
      <c r="R470" s="188">
        <v>0</v>
      </c>
      <c r="S470" s="188">
        <v>0</v>
      </c>
      <c r="T470" s="188">
        <v>0</v>
      </c>
      <c r="U470" s="188">
        <v>1</v>
      </c>
      <c r="V470" s="188">
        <v>2</v>
      </c>
      <c r="W470" s="188">
        <v>0</v>
      </c>
      <c r="X470" s="188">
        <v>3</v>
      </c>
      <c r="Y470" s="188">
        <v>0</v>
      </c>
      <c r="Z470" s="188">
        <v>0</v>
      </c>
      <c r="AA470" s="188">
        <v>0</v>
      </c>
      <c r="AB470" s="188">
        <v>0</v>
      </c>
      <c r="AC470" s="189">
        <v>46.3</v>
      </c>
      <c r="AD470" s="189" t="s">
        <v>24</v>
      </c>
      <c r="AE470" s="188">
        <v>0</v>
      </c>
      <c r="AF470" s="189">
        <v>0</v>
      </c>
      <c r="AG470" s="188">
        <v>0</v>
      </c>
      <c r="AH470" s="189">
        <v>0</v>
      </c>
      <c r="AI470" s="188">
        <v>0</v>
      </c>
      <c r="AJ470" s="645">
        <v>0</v>
      </c>
    </row>
    <row r="471" spans="1:36" x14ac:dyDescent="0.2">
      <c r="A471" s="440" t="s">
        <v>50</v>
      </c>
      <c r="B471" s="646">
        <v>3</v>
      </c>
      <c r="C471" s="186">
        <v>0</v>
      </c>
      <c r="D471" s="186">
        <v>3</v>
      </c>
      <c r="E471" s="186">
        <v>0</v>
      </c>
      <c r="F471" s="186">
        <v>0</v>
      </c>
      <c r="G471" s="186">
        <v>0</v>
      </c>
      <c r="H471" s="186">
        <v>0</v>
      </c>
      <c r="I471" s="186">
        <v>0</v>
      </c>
      <c r="J471" s="186">
        <v>0</v>
      </c>
      <c r="K471" s="186">
        <v>0</v>
      </c>
      <c r="L471" s="186">
        <v>0</v>
      </c>
      <c r="M471" s="656" t="s">
        <v>24</v>
      </c>
      <c r="N471" s="670" t="s">
        <v>50</v>
      </c>
      <c r="O471" s="646">
        <v>0</v>
      </c>
      <c r="P471" s="186">
        <v>0</v>
      </c>
      <c r="Q471" s="186">
        <v>0</v>
      </c>
      <c r="R471" s="186">
        <v>0</v>
      </c>
      <c r="S471" s="186">
        <v>0</v>
      </c>
      <c r="T471" s="186">
        <v>0</v>
      </c>
      <c r="U471" s="186">
        <v>1</v>
      </c>
      <c r="V471" s="186">
        <v>1</v>
      </c>
      <c r="W471" s="186">
        <v>1</v>
      </c>
      <c r="X471" s="186">
        <v>0</v>
      </c>
      <c r="Y471" s="186">
        <v>0</v>
      </c>
      <c r="Z471" s="186">
        <v>0</v>
      </c>
      <c r="AA471" s="186">
        <v>0</v>
      </c>
      <c r="AB471" s="186">
        <v>0</v>
      </c>
      <c r="AC471" s="187">
        <v>42.9</v>
      </c>
      <c r="AD471" s="187" t="s">
        <v>24</v>
      </c>
      <c r="AE471" s="186">
        <v>0</v>
      </c>
      <c r="AF471" s="187">
        <v>0</v>
      </c>
      <c r="AG471" s="186">
        <v>0</v>
      </c>
      <c r="AH471" s="187">
        <v>0</v>
      </c>
      <c r="AI471" s="186">
        <v>0</v>
      </c>
      <c r="AJ471" s="647">
        <v>0</v>
      </c>
    </row>
    <row r="472" spans="1:36" x14ac:dyDescent="0.2">
      <c r="A472" s="440" t="s">
        <v>82</v>
      </c>
      <c r="B472" s="642">
        <v>3</v>
      </c>
      <c r="C472" s="184">
        <v>0</v>
      </c>
      <c r="D472" s="184">
        <v>3</v>
      </c>
      <c r="E472" s="184">
        <v>0</v>
      </c>
      <c r="F472" s="184">
        <v>0</v>
      </c>
      <c r="G472" s="184">
        <v>0</v>
      </c>
      <c r="H472" s="184">
        <v>0</v>
      </c>
      <c r="I472" s="184">
        <v>0</v>
      </c>
      <c r="J472" s="184">
        <v>0</v>
      </c>
      <c r="K472" s="184">
        <v>0</v>
      </c>
      <c r="L472" s="184">
        <v>0</v>
      </c>
      <c r="M472" s="654" t="s">
        <v>24</v>
      </c>
      <c r="N472" s="670" t="s">
        <v>82</v>
      </c>
      <c r="O472" s="642">
        <v>0</v>
      </c>
      <c r="P472" s="184">
        <v>0</v>
      </c>
      <c r="Q472" s="184">
        <v>0</v>
      </c>
      <c r="R472" s="184">
        <v>0</v>
      </c>
      <c r="S472" s="184">
        <v>0</v>
      </c>
      <c r="T472" s="184">
        <v>0</v>
      </c>
      <c r="U472" s="184">
        <v>1</v>
      </c>
      <c r="V472" s="184">
        <v>2</v>
      </c>
      <c r="W472" s="184">
        <v>0</v>
      </c>
      <c r="X472" s="184">
        <v>0</v>
      </c>
      <c r="Y472" s="184">
        <v>0</v>
      </c>
      <c r="Z472" s="184">
        <v>0</v>
      </c>
      <c r="AA472" s="184">
        <v>0</v>
      </c>
      <c r="AB472" s="184">
        <v>0</v>
      </c>
      <c r="AC472" s="185">
        <v>39.9</v>
      </c>
      <c r="AD472" s="185" t="s">
        <v>24</v>
      </c>
      <c r="AE472" s="184">
        <v>0</v>
      </c>
      <c r="AF472" s="185">
        <v>0</v>
      </c>
      <c r="AG472" s="184">
        <v>0</v>
      </c>
      <c r="AH472" s="185">
        <v>0</v>
      </c>
      <c r="AI472" s="184">
        <v>0</v>
      </c>
      <c r="AJ472" s="643">
        <v>0</v>
      </c>
    </row>
    <row r="473" spans="1:36" x14ac:dyDescent="0.2">
      <c r="A473" s="440" t="s">
        <v>83</v>
      </c>
      <c r="B473" s="642">
        <v>12</v>
      </c>
      <c r="C473" s="184">
        <v>0</v>
      </c>
      <c r="D473" s="184">
        <v>10</v>
      </c>
      <c r="E473" s="184">
        <v>1</v>
      </c>
      <c r="F473" s="184">
        <v>1</v>
      </c>
      <c r="G473" s="184">
        <v>0</v>
      </c>
      <c r="H473" s="184">
        <v>0</v>
      </c>
      <c r="I473" s="184">
        <v>0</v>
      </c>
      <c r="J473" s="184">
        <v>0</v>
      </c>
      <c r="K473" s="184">
        <v>0</v>
      </c>
      <c r="L473" s="184">
        <v>0</v>
      </c>
      <c r="M473" s="654" t="s">
        <v>24</v>
      </c>
      <c r="N473" s="670" t="s">
        <v>83</v>
      </c>
      <c r="O473" s="642">
        <v>0</v>
      </c>
      <c r="P473" s="184">
        <v>0</v>
      </c>
      <c r="Q473" s="184">
        <v>0</v>
      </c>
      <c r="R473" s="184">
        <v>0</v>
      </c>
      <c r="S473" s="184">
        <v>0</v>
      </c>
      <c r="T473" s="184">
        <v>0</v>
      </c>
      <c r="U473" s="184">
        <v>3</v>
      </c>
      <c r="V473" s="184">
        <v>4</v>
      </c>
      <c r="W473" s="184">
        <v>3</v>
      </c>
      <c r="X473" s="184">
        <v>2</v>
      </c>
      <c r="Y473" s="184">
        <v>0</v>
      </c>
      <c r="Z473" s="184">
        <v>0</v>
      </c>
      <c r="AA473" s="184">
        <v>0</v>
      </c>
      <c r="AB473" s="184">
        <v>0</v>
      </c>
      <c r="AC473" s="185">
        <v>44.3</v>
      </c>
      <c r="AD473" s="185">
        <v>53.6</v>
      </c>
      <c r="AE473" s="184">
        <v>0</v>
      </c>
      <c r="AF473" s="185">
        <v>0</v>
      </c>
      <c r="AG473" s="184">
        <v>0</v>
      </c>
      <c r="AH473" s="185">
        <v>0</v>
      </c>
      <c r="AI473" s="184">
        <v>0</v>
      </c>
      <c r="AJ473" s="643">
        <v>0</v>
      </c>
    </row>
    <row r="474" spans="1:36" x14ac:dyDescent="0.2">
      <c r="A474" s="440" t="s">
        <v>84</v>
      </c>
      <c r="B474" s="642">
        <v>6</v>
      </c>
      <c r="C474" s="184">
        <v>0</v>
      </c>
      <c r="D474" s="184">
        <v>6</v>
      </c>
      <c r="E474" s="184">
        <v>0</v>
      </c>
      <c r="F474" s="184">
        <v>0</v>
      </c>
      <c r="G474" s="184">
        <v>0</v>
      </c>
      <c r="H474" s="184">
        <v>0</v>
      </c>
      <c r="I474" s="184">
        <v>0</v>
      </c>
      <c r="J474" s="184">
        <v>0</v>
      </c>
      <c r="K474" s="184">
        <v>0</v>
      </c>
      <c r="L474" s="184">
        <v>0</v>
      </c>
      <c r="M474" s="654" t="s">
        <v>24</v>
      </c>
      <c r="N474" s="670" t="s">
        <v>84</v>
      </c>
      <c r="O474" s="642">
        <v>0</v>
      </c>
      <c r="P474" s="184">
        <v>0</v>
      </c>
      <c r="Q474" s="184">
        <v>0</v>
      </c>
      <c r="R474" s="184">
        <v>0</v>
      </c>
      <c r="S474" s="184">
        <v>0</v>
      </c>
      <c r="T474" s="184">
        <v>2</v>
      </c>
      <c r="U474" s="184">
        <v>1</v>
      </c>
      <c r="V474" s="184">
        <v>1</v>
      </c>
      <c r="W474" s="184">
        <v>1</v>
      </c>
      <c r="X474" s="184">
        <v>1</v>
      </c>
      <c r="Y474" s="184">
        <v>0</v>
      </c>
      <c r="Z474" s="184">
        <v>0</v>
      </c>
      <c r="AA474" s="184">
        <v>0</v>
      </c>
      <c r="AB474" s="184">
        <v>0</v>
      </c>
      <c r="AC474" s="185">
        <v>40.700000000000003</v>
      </c>
      <c r="AD474" s="185" t="s">
        <v>24</v>
      </c>
      <c r="AE474" s="184">
        <v>0</v>
      </c>
      <c r="AF474" s="185">
        <v>0</v>
      </c>
      <c r="AG474" s="184">
        <v>0</v>
      </c>
      <c r="AH474" s="185">
        <v>0</v>
      </c>
      <c r="AI474" s="184">
        <v>0</v>
      </c>
      <c r="AJ474" s="643">
        <v>0</v>
      </c>
    </row>
    <row r="475" spans="1:36" x14ac:dyDescent="0.2">
      <c r="A475" s="440" t="s">
        <v>51</v>
      </c>
      <c r="B475" s="642">
        <v>6</v>
      </c>
      <c r="C475" s="184">
        <v>0</v>
      </c>
      <c r="D475" s="184">
        <v>6</v>
      </c>
      <c r="E475" s="184">
        <v>0</v>
      </c>
      <c r="F475" s="184">
        <v>0</v>
      </c>
      <c r="G475" s="184">
        <v>0</v>
      </c>
      <c r="H475" s="184">
        <v>0</v>
      </c>
      <c r="I475" s="184">
        <v>0</v>
      </c>
      <c r="J475" s="184">
        <v>0</v>
      </c>
      <c r="K475" s="184">
        <v>0</v>
      </c>
      <c r="L475" s="184">
        <v>0</v>
      </c>
      <c r="M475" s="654" t="s">
        <v>24</v>
      </c>
      <c r="N475" s="670" t="s">
        <v>51</v>
      </c>
      <c r="O475" s="642">
        <v>0</v>
      </c>
      <c r="P475" s="184">
        <v>0</v>
      </c>
      <c r="Q475" s="184">
        <v>0</v>
      </c>
      <c r="R475" s="184">
        <v>0</v>
      </c>
      <c r="S475" s="184">
        <v>0</v>
      </c>
      <c r="T475" s="184">
        <v>1</v>
      </c>
      <c r="U475" s="184">
        <v>1</v>
      </c>
      <c r="V475" s="184">
        <v>3</v>
      </c>
      <c r="W475" s="184">
        <v>0</v>
      </c>
      <c r="X475" s="184">
        <v>1</v>
      </c>
      <c r="Y475" s="184">
        <v>0</v>
      </c>
      <c r="Z475" s="184">
        <v>0</v>
      </c>
      <c r="AA475" s="184">
        <v>0</v>
      </c>
      <c r="AB475" s="184">
        <v>0</v>
      </c>
      <c r="AC475" s="185">
        <v>42.4</v>
      </c>
      <c r="AD475" s="185" t="s">
        <v>24</v>
      </c>
      <c r="AE475" s="184">
        <v>0</v>
      </c>
      <c r="AF475" s="185">
        <v>0</v>
      </c>
      <c r="AG475" s="184">
        <v>0</v>
      </c>
      <c r="AH475" s="185">
        <v>0</v>
      </c>
      <c r="AI475" s="184">
        <v>0</v>
      </c>
      <c r="AJ475" s="643">
        <v>0</v>
      </c>
    </row>
    <row r="476" spans="1:36" x14ac:dyDescent="0.2">
      <c r="A476" s="440" t="s">
        <v>85</v>
      </c>
      <c r="B476" s="642">
        <v>13</v>
      </c>
      <c r="C476" s="184">
        <v>1</v>
      </c>
      <c r="D476" s="184">
        <v>11</v>
      </c>
      <c r="E476" s="184">
        <v>0</v>
      </c>
      <c r="F476" s="184">
        <v>0</v>
      </c>
      <c r="G476" s="184">
        <v>0</v>
      </c>
      <c r="H476" s="184">
        <v>0</v>
      </c>
      <c r="I476" s="184">
        <v>1</v>
      </c>
      <c r="J476" s="184">
        <v>0</v>
      </c>
      <c r="K476" s="184">
        <v>0</v>
      </c>
      <c r="L476" s="184">
        <v>0</v>
      </c>
      <c r="M476" s="654" t="s">
        <v>24</v>
      </c>
      <c r="N476" s="670" t="s">
        <v>85</v>
      </c>
      <c r="O476" s="642">
        <v>0</v>
      </c>
      <c r="P476" s="184">
        <v>0</v>
      </c>
      <c r="Q476" s="184">
        <v>1</v>
      </c>
      <c r="R476" s="184">
        <v>0</v>
      </c>
      <c r="S476" s="184">
        <v>0</v>
      </c>
      <c r="T476" s="184">
        <v>0</v>
      </c>
      <c r="U476" s="184">
        <v>3</v>
      </c>
      <c r="V476" s="184">
        <v>6</v>
      </c>
      <c r="W476" s="184">
        <v>1</v>
      </c>
      <c r="X476" s="184">
        <v>2</v>
      </c>
      <c r="Y476" s="184">
        <v>0</v>
      </c>
      <c r="Z476" s="184">
        <v>0</v>
      </c>
      <c r="AA476" s="184">
        <v>0</v>
      </c>
      <c r="AB476" s="184">
        <v>0</v>
      </c>
      <c r="AC476" s="185">
        <v>41.1</v>
      </c>
      <c r="AD476" s="185">
        <v>51.2</v>
      </c>
      <c r="AE476" s="184">
        <v>0</v>
      </c>
      <c r="AF476" s="185">
        <v>0</v>
      </c>
      <c r="AG476" s="184">
        <v>0</v>
      </c>
      <c r="AH476" s="185">
        <v>0</v>
      </c>
      <c r="AI476" s="184">
        <v>0</v>
      </c>
      <c r="AJ476" s="643">
        <v>0</v>
      </c>
    </row>
    <row r="477" spans="1:36" x14ac:dyDescent="0.2">
      <c r="A477" s="440" t="s">
        <v>86</v>
      </c>
      <c r="B477" s="642">
        <v>18</v>
      </c>
      <c r="C477" s="184">
        <v>0</v>
      </c>
      <c r="D477" s="184">
        <v>17</v>
      </c>
      <c r="E477" s="184">
        <v>1</v>
      </c>
      <c r="F477" s="184">
        <v>0</v>
      </c>
      <c r="G477" s="184">
        <v>0</v>
      </c>
      <c r="H477" s="184">
        <v>0</v>
      </c>
      <c r="I477" s="184">
        <v>0</v>
      </c>
      <c r="J477" s="184">
        <v>0</v>
      </c>
      <c r="K477" s="184">
        <v>0</v>
      </c>
      <c r="L477" s="184">
        <v>0</v>
      </c>
      <c r="M477" s="654" t="s">
        <v>24</v>
      </c>
      <c r="N477" s="670" t="s">
        <v>86</v>
      </c>
      <c r="O477" s="642">
        <v>0</v>
      </c>
      <c r="P477" s="184">
        <v>0</v>
      </c>
      <c r="Q477" s="184">
        <v>0</v>
      </c>
      <c r="R477" s="184">
        <v>0</v>
      </c>
      <c r="S477" s="184">
        <v>0</v>
      </c>
      <c r="T477" s="184">
        <v>2</v>
      </c>
      <c r="U477" s="184">
        <v>3</v>
      </c>
      <c r="V477" s="184">
        <v>6</v>
      </c>
      <c r="W477" s="184">
        <v>2</v>
      </c>
      <c r="X477" s="184">
        <v>4</v>
      </c>
      <c r="Y477" s="184">
        <v>1</v>
      </c>
      <c r="Z477" s="184">
        <v>0</v>
      </c>
      <c r="AA477" s="184">
        <v>0</v>
      </c>
      <c r="AB477" s="184">
        <v>0</v>
      </c>
      <c r="AC477" s="185">
        <v>44.2</v>
      </c>
      <c r="AD477" s="185">
        <v>51.7</v>
      </c>
      <c r="AE477" s="184">
        <v>1</v>
      </c>
      <c r="AF477" s="185">
        <v>5.5555555555555554</v>
      </c>
      <c r="AG477" s="184">
        <v>0</v>
      </c>
      <c r="AH477" s="185">
        <v>0</v>
      </c>
      <c r="AI477" s="184">
        <v>0</v>
      </c>
      <c r="AJ477" s="643">
        <v>0</v>
      </c>
    </row>
    <row r="478" spans="1:36" x14ac:dyDescent="0.2">
      <c r="A478" s="440" t="s">
        <v>87</v>
      </c>
      <c r="B478" s="642">
        <v>24</v>
      </c>
      <c r="C478" s="184">
        <v>0</v>
      </c>
      <c r="D478" s="184">
        <v>23</v>
      </c>
      <c r="E478" s="184">
        <v>0</v>
      </c>
      <c r="F478" s="184">
        <v>1</v>
      </c>
      <c r="G478" s="184">
        <v>0</v>
      </c>
      <c r="H478" s="184">
        <v>0</v>
      </c>
      <c r="I478" s="184">
        <v>0</v>
      </c>
      <c r="J478" s="184">
        <v>0</v>
      </c>
      <c r="K478" s="184">
        <v>0</v>
      </c>
      <c r="L478" s="184">
        <v>0</v>
      </c>
      <c r="M478" s="654" t="s">
        <v>24</v>
      </c>
      <c r="N478" s="670" t="s">
        <v>87</v>
      </c>
      <c r="O478" s="642">
        <v>0</v>
      </c>
      <c r="P478" s="184">
        <v>0</v>
      </c>
      <c r="Q478" s="184">
        <v>0</v>
      </c>
      <c r="R478" s="184">
        <v>0</v>
      </c>
      <c r="S478" s="184">
        <v>0</v>
      </c>
      <c r="T478" s="184">
        <v>4</v>
      </c>
      <c r="U478" s="184">
        <v>6</v>
      </c>
      <c r="V478" s="184">
        <v>8</v>
      </c>
      <c r="W478" s="184">
        <v>4</v>
      </c>
      <c r="X478" s="184">
        <v>2</v>
      </c>
      <c r="Y478" s="184">
        <v>0</v>
      </c>
      <c r="Z478" s="184">
        <v>0</v>
      </c>
      <c r="AA478" s="184">
        <v>0</v>
      </c>
      <c r="AB478" s="184">
        <v>0</v>
      </c>
      <c r="AC478" s="185">
        <v>41.4</v>
      </c>
      <c r="AD478" s="185">
        <v>46.7</v>
      </c>
      <c r="AE478" s="184">
        <v>0</v>
      </c>
      <c r="AF478" s="185">
        <v>0</v>
      </c>
      <c r="AG478" s="184">
        <v>0</v>
      </c>
      <c r="AH478" s="185">
        <v>0</v>
      </c>
      <c r="AI478" s="184">
        <v>0</v>
      </c>
      <c r="AJ478" s="643">
        <v>0</v>
      </c>
    </row>
    <row r="479" spans="1:36" x14ac:dyDescent="0.2">
      <c r="A479" s="440" t="s">
        <v>53</v>
      </c>
      <c r="B479" s="646">
        <v>5</v>
      </c>
      <c r="C479" s="186">
        <v>0</v>
      </c>
      <c r="D479" s="186">
        <v>4</v>
      </c>
      <c r="E479" s="186">
        <v>0</v>
      </c>
      <c r="F479" s="186">
        <v>1</v>
      </c>
      <c r="G479" s="186">
        <v>0</v>
      </c>
      <c r="H479" s="186">
        <v>0</v>
      </c>
      <c r="I479" s="186">
        <v>0</v>
      </c>
      <c r="J479" s="186">
        <v>0</v>
      </c>
      <c r="K479" s="186">
        <v>0</v>
      </c>
      <c r="L479" s="186">
        <v>0</v>
      </c>
      <c r="M479" s="656" t="s">
        <v>24</v>
      </c>
      <c r="N479" s="670" t="s">
        <v>53</v>
      </c>
      <c r="O479" s="646">
        <v>0</v>
      </c>
      <c r="P479" s="186">
        <v>0</v>
      </c>
      <c r="Q479" s="186">
        <v>0</v>
      </c>
      <c r="R479" s="186">
        <v>0</v>
      </c>
      <c r="S479" s="186">
        <v>0</v>
      </c>
      <c r="T479" s="186">
        <v>0</v>
      </c>
      <c r="U479" s="186">
        <v>2</v>
      </c>
      <c r="V479" s="186">
        <v>2</v>
      </c>
      <c r="W479" s="186">
        <v>1</v>
      </c>
      <c r="X479" s="186">
        <v>0</v>
      </c>
      <c r="Y479" s="186">
        <v>0</v>
      </c>
      <c r="Z479" s="186">
        <v>0</v>
      </c>
      <c r="AA479" s="186">
        <v>0</v>
      </c>
      <c r="AB479" s="186">
        <v>0</v>
      </c>
      <c r="AC479" s="187">
        <v>42.4</v>
      </c>
      <c r="AD479" s="187" t="s">
        <v>24</v>
      </c>
      <c r="AE479" s="186">
        <v>0</v>
      </c>
      <c r="AF479" s="187">
        <v>0</v>
      </c>
      <c r="AG479" s="186">
        <v>0</v>
      </c>
      <c r="AH479" s="187">
        <v>0</v>
      </c>
      <c r="AI479" s="186">
        <v>0</v>
      </c>
      <c r="AJ479" s="647">
        <v>0</v>
      </c>
    </row>
    <row r="480" spans="1:36" x14ac:dyDescent="0.2">
      <c r="A480" s="440" t="s">
        <v>88</v>
      </c>
      <c r="B480" s="642">
        <v>8</v>
      </c>
      <c r="C480" s="184">
        <v>0</v>
      </c>
      <c r="D480" s="184">
        <v>8</v>
      </c>
      <c r="E480" s="184">
        <v>0</v>
      </c>
      <c r="F480" s="184">
        <v>0</v>
      </c>
      <c r="G480" s="184">
        <v>0</v>
      </c>
      <c r="H480" s="184">
        <v>0</v>
      </c>
      <c r="I480" s="184">
        <v>0</v>
      </c>
      <c r="J480" s="184">
        <v>0</v>
      </c>
      <c r="K480" s="184">
        <v>0</v>
      </c>
      <c r="L480" s="184">
        <v>0</v>
      </c>
      <c r="M480" s="654" t="s">
        <v>24</v>
      </c>
      <c r="N480" s="670" t="s">
        <v>88</v>
      </c>
      <c r="O480" s="642">
        <v>0</v>
      </c>
      <c r="P480" s="184">
        <v>0</v>
      </c>
      <c r="Q480" s="184">
        <v>0</v>
      </c>
      <c r="R480" s="184">
        <v>0</v>
      </c>
      <c r="S480" s="184">
        <v>0</v>
      </c>
      <c r="T480" s="184">
        <v>0</v>
      </c>
      <c r="U480" s="184">
        <v>3</v>
      </c>
      <c r="V480" s="184">
        <v>2</v>
      </c>
      <c r="W480" s="184">
        <v>2</v>
      </c>
      <c r="X480" s="184">
        <v>1</v>
      </c>
      <c r="Y480" s="184">
        <v>0</v>
      </c>
      <c r="Z480" s="184">
        <v>0</v>
      </c>
      <c r="AA480" s="184">
        <v>0</v>
      </c>
      <c r="AB480" s="184">
        <v>0</v>
      </c>
      <c r="AC480" s="185">
        <v>42.4</v>
      </c>
      <c r="AD480" s="185" t="s">
        <v>24</v>
      </c>
      <c r="AE480" s="184">
        <v>0</v>
      </c>
      <c r="AF480" s="185">
        <v>0</v>
      </c>
      <c r="AG480" s="184">
        <v>0</v>
      </c>
      <c r="AH480" s="185">
        <v>0</v>
      </c>
      <c r="AI480" s="184">
        <v>0</v>
      </c>
      <c r="AJ480" s="643">
        <v>0</v>
      </c>
    </row>
    <row r="481" spans="1:36" x14ac:dyDescent="0.2">
      <c r="A481" s="440" t="s">
        <v>89</v>
      </c>
      <c r="B481" s="642">
        <v>9</v>
      </c>
      <c r="C481" s="184">
        <v>0</v>
      </c>
      <c r="D481" s="184">
        <v>9</v>
      </c>
      <c r="E481" s="184">
        <v>0</v>
      </c>
      <c r="F481" s="184">
        <v>0</v>
      </c>
      <c r="G481" s="184">
        <v>0</v>
      </c>
      <c r="H481" s="184">
        <v>0</v>
      </c>
      <c r="I481" s="184">
        <v>0</v>
      </c>
      <c r="J481" s="184">
        <v>0</v>
      </c>
      <c r="K481" s="184">
        <v>0</v>
      </c>
      <c r="L481" s="184">
        <v>0</v>
      </c>
      <c r="M481" s="654" t="s">
        <v>24</v>
      </c>
      <c r="N481" s="670" t="s">
        <v>89</v>
      </c>
      <c r="O481" s="642">
        <v>0</v>
      </c>
      <c r="P481" s="184">
        <v>0</v>
      </c>
      <c r="Q481" s="184">
        <v>0</v>
      </c>
      <c r="R481" s="184">
        <v>0</v>
      </c>
      <c r="S481" s="184">
        <v>0</v>
      </c>
      <c r="T481" s="184">
        <v>0</v>
      </c>
      <c r="U481" s="184">
        <v>2</v>
      </c>
      <c r="V481" s="184">
        <v>3</v>
      </c>
      <c r="W481" s="184">
        <v>4</v>
      </c>
      <c r="X481" s="184">
        <v>0</v>
      </c>
      <c r="Y481" s="184">
        <v>0</v>
      </c>
      <c r="Z481" s="184">
        <v>0</v>
      </c>
      <c r="AA481" s="184">
        <v>0</v>
      </c>
      <c r="AB481" s="184">
        <v>0</v>
      </c>
      <c r="AC481" s="185">
        <v>43.2</v>
      </c>
      <c r="AD481" s="185" t="s">
        <v>24</v>
      </c>
      <c r="AE481" s="184">
        <v>0</v>
      </c>
      <c r="AF481" s="185">
        <v>0</v>
      </c>
      <c r="AG481" s="184">
        <v>0</v>
      </c>
      <c r="AH481" s="185">
        <v>0</v>
      </c>
      <c r="AI481" s="184">
        <v>0</v>
      </c>
      <c r="AJ481" s="643">
        <v>0</v>
      </c>
    </row>
    <row r="482" spans="1:36" x14ac:dyDescent="0.2">
      <c r="A482" s="440" t="s">
        <v>90</v>
      </c>
      <c r="B482" s="642">
        <v>17</v>
      </c>
      <c r="C482" s="184">
        <v>1</v>
      </c>
      <c r="D482" s="184">
        <v>14</v>
      </c>
      <c r="E482" s="184">
        <v>0</v>
      </c>
      <c r="F482" s="184">
        <v>2</v>
      </c>
      <c r="G482" s="184">
        <v>0</v>
      </c>
      <c r="H482" s="184">
        <v>0</v>
      </c>
      <c r="I482" s="184">
        <v>0</v>
      </c>
      <c r="J482" s="184">
        <v>0</v>
      </c>
      <c r="K482" s="184">
        <v>0</v>
      </c>
      <c r="L482" s="184">
        <v>0</v>
      </c>
      <c r="M482" s="654" t="s">
        <v>24</v>
      </c>
      <c r="N482" s="670" t="s">
        <v>90</v>
      </c>
      <c r="O482" s="642">
        <v>0</v>
      </c>
      <c r="P482" s="184">
        <v>1</v>
      </c>
      <c r="Q482" s="184">
        <v>0</v>
      </c>
      <c r="R482" s="184">
        <v>0</v>
      </c>
      <c r="S482" s="184">
        <v>0</v>
      </c>
      <c r="T482" s="184">
        <v>4</v>
      </c>
      <c r="U482" s="184">
        <v>6</v>
      </c>
      <c r="V482" s="184">
        <v>6</v>
      </c>
      <c r="W482" s="184">
        <v>0</v>
      </c>
      <c r="X482" s="184">
        <v>0</v>
      </c>
      <c r="Y482" s="184">
        <v>0</v>
      </c>
      <c r="Z482" s="184">
        <v>0</v>
      </c>
      <c r="AA482" s="184">
        <v>0</v>
      </c>
      <c r="AB482" s="184">
        <v>0</v>
      </c>
      <c r="AC482" s="185">
        <v>36.6</v>
      </c>
      <c r="AD482" s="185">
        <v>43.2</v>
      </c>
      <c r="AE482" s="184">
        <v>0</v>
      </c>
      <c r="AF482" s="185">
        <v>0</v>
      </c>
      <c r="AG482" s="184">
        <v>0</v>
      </c>
      <c r="AH482" s="185">
        <v>0</v>
      </c>
      <c r="AI482" s="184">
        <v>0</v>
      </c>
      <c r="AJ482" s="643">
        <v>0</v>
      </c>
    </row>
    <row r="483" spans="1:36" x14ac:dyDescent="0.2">
      <c r="A483" s="440" t="s">
        <v>55</v>
      </c>
      <c r="B483" s="642">
        <v>10</v>
      </c>
      <c r="C483" s="184">
        <v>0</v>
      </c>
      <c r="D483" s="184">
        <v>9</v>
      </c>
      <c r="E483" s="184">
        <v>1</v>
      </c>
      <c r="F483" s="184">
        <v>0</v>
      </c>
      <c r="G483" s="184">
        <v>0</v>
      </c>
      <c r="H483" s="184">
        <v>0</v>
      </c>
      <c r="I483" s="184">
        <v>0</v>
      </c>
      <c r="J483" s="184">
        <v>0</v>
      </c>
      <c r="K483" s="184">
        <v>0</v>
      </c>
      <c r="L483" s="184">
        <v>0</v>
      </c>
      <c r="M483" s="654" t="s">
        <v>24</v>
      </c>
      <c r="N483" s="670" t="s">
        <v>55</v>
      </c>
      <c r="O483" s="642">
        <v>0</v>
      </c>
      <c r="P483" s="184">
        <v>0</v>
      </c>
      <c r="Q483" s="184">
        <v>0</v>
      </c>
      <c r="R483" s="184">
        <v>0</v>
      </c>
      <c r="S483" s="184">
        <v>0</v>
      </c>
      <c r="T483" s="184">
        <v>1</v>
      </c>
      <c r="U483" s="184">
        <v>4</v>
      </c>
      <c r="V483" s="184">
        <v>4</v>
      </c>
      <c r="W483" s="184">
        <v>1</v>
      </c>
      <c r="X483" s="184">
        <v>0</v>
      </c>
      <c r="Y483" s="184">
        <v>0</v>
      </c>
      <c r="Z483" s="184">
        <v>0</v>
      </c>
      <c r="AA483" s="184">
        <v>0</v>
      </c>
      <c r="AB483" s="184">
        <v>0</v>
      </c>
      <c r="AC483" s="185">
        <v>39.9</v>
      </c>
      <c r="AD483" s="185" t="s">
        <v>24</v>
      </c>
      <c r="AE483" s="184">
        <v>0</v>
      </c>
      <c r="AF483" s="185">
        <v>0</v>
      </c>
      <c r="AG483" s="184">
        <v>0</v>
      </c>
      <c r="AH483" s="185">
        <v>0</v>
      </c>
      <c r="AI483" s="184">
        <v>0</v>
      </c>
      <c r="AJ483" s="643">
        <v>0</v>
      </c>
    </row>
    <row r="484" spans="1:36" x14ac:dyDescent="0.2">
      <c r="A484" s="440" t="s">
        <v>91</v>
      </c>
      <c r="B484" s="642">
        <v>7</v>
      </c>
      <c r="C484" s="184">
        <v>1</v>
      </c>
      <c r="D484" s="184">
        <v>6</v>
      </c>
      <c r="E484" s="184">
        <v>0</v>
      </c>
      <c r="F484" s="184">
        <v>0</v>
      </c>
      <c r="G484" s="184">
        <v>0</v>
      </c>
      <c r="H484" s="184">
        <v>0</v>
      </c>
      <c r="I484" s="184">
        <v>0</v>
      </c>
      <c r="J484" s="184">
        <v>0</v>
      </c>
      <c r="K484" s="184">
        <v>0</v>
      </c>
      <c r="L484" s="184">
        <v>0</v>
      </c>
      <c r="M484" s="654" t="s">
        <v>24</v>
      </c>
      <c r="N484" s="670" t="s">
        <v>91</v>
      </c>
      <c r="O484" s="642">
        <v>0</v>
      </c>
      <c r="P484" s="184">
        <v>1</v>
      </c>
      <c r="Q484" s="184">
        <v>1</v>
      </c>
      <c r="R484" s="184">
        <v>0</v>
      </c>
      <c r="S484" s="184">
        <v>0</v>
      </c>
      <c r="T484" s="184">
        <v>0</v>
      </c>
      <c r="U484" s="184">
        <v>4</v>
      </c>
      <c r="V484" s="184">
        <v>1</v>
      </c>
      <c r="W484" s="184">
        <v>0</v>
      </c>
      <c r="X484" s="184">
        <v>0</v>
      </c>
      <c r="Y484" s="184">
        <v>0</v>
      </c>
      <c r="Z484" s="184">
        <v>0</v>
      </c>
      <c r="AA484" s="184">
        <v>0</v>
      </c>
      <c r="AB484" s="184">
        <v>0</v>
      </c>
      <c r="AC484" s="185">
        <v>32.299999999999997</v>
      </c>
      <c r="AD484" s="185" t="s">
        <v>24</v>
      </c>
      <c r="AE484" s="184">
        <v>0</v>
      </c>
      <c r="AF484" s="185">
        <v>0</v>
      </c>
      <c r="AG484" s="184">
        <v>0</v>
      </c>
      <c r="AH484" s="185">
        <v>0</v>
      </c>
      <c r="AI484" s="184">
        <v>0</v>
      </c>
      <c r="AJ484" s="643">
        <v>0</v>
      </c>
    </row>
    <row r="485" spans="1:36" x14ac:dyDescent="0.2">
      <c r="A485" s="440" t="s">
        <v>92</v>
      </c>
      <c r="B485" s="642">
        <v>12</v>
      </c>
      <c r="C485" s="184">
        <v>3</v>
      </c>
      <c r="D485" s="184">
        <v>9</v>
      </c>
      <c r="E485" s="184">
        <v>0</v>
      </c>
      <c r="F485" s="184">
        <v>0</v>
      </c>
      <c r="G485" s="184">
        <v>0</v>
      </c>
      <c r="H485" s="184">
        <v>0</v>
      </c>
      <c r="I485" s="184">
        <v>0</v>
      </c>
      <c r="J485" s="184">
        <v>0</v>
      </c>
      <c r="K485" s="184">
        <v>0</v>
      </c>
      <c r="L485" s="184">
        <v>0</v>
      </c>
      <c r="M485" s="654" t="s">
        <v>24</v>
      </c>
      <c r="N485" s="670" t="s">
        <v>92</v>
      </c>
      <c r="O485" s="642">
        <v>0</v>
      </c>
      <c r="P485" s="184">
        <v>1</v>
      </c>
      <c r="Q485" s="184">
        <v>2</v>
      </c>
      <c r="R485" s="184">
        <v>0</v>
      </c>
      <c r="S485" s="184">
        <v>0</v>
      </c>
      <c r="T485" s="184">
        <v>2</v>
      </c>
      <c r="U485" s="184">
        <v>1</v>
      </c>
      <c r="V485" s="184">
        <v>4</v>
      </c>
      <c r="W485" s="184">
        <v>0</v>
      </c>
      <c r="X485" s="184">
        <v>2</v>
      </c>
      <c r="Y485" s="184">
        <v>0</v>
      </c>
      <c r="Z485" s="184">
        <v>0</v>
      </c>
      <c r="AA485" s="184">
        <v>0</v>
      </c>
      <c r="AB485" s="184">
        <v>0</v>
      </c>
      <c r="AC485" s="185">
        <v>35.299999999999997</v>
      </c>
      <c r="AD485" s="185">
        <v>50.6</v>
      </c>
      <c r="AE485" s="184">
        <v>0</v>
      </c>
      <c r="AF485" s="185">
        <v>0</v>
      </c>
      <c r="AG485" s="184">
        <v>0</v>
      </c>
      <c r="AH485" s="185">
        <v>0</v>
      </c>
      <c r="AI485" s="184">
        <v>0</v>
      </c>
      <c r="AJ485" s="643">
        <v>0</v>
      </c>
    </row>
    <row r="486" spans="1:36" x14ac:dyDescent="0.2">
      <c r="A486" s="440" t="s">
        <v>93</v>
      </c>
      <c r="B486" s="642">
        <v>7</v>
      </c>
      <c r="C486" s="184">
        <v>0</v>
      </c>
      <c r="D486" s="184">
        <v>6</v>
      </c>
      <c r="E486" s="184">
        <v>0</v>
      </c>
      <c r="F486" s="184">
        <v>1</v>
      </c>
      <c r="G486" s="184">
        <v>0</v>
      </c>
      <c r="H486" s="184">
        <v>0</v>
      </c>
      <c r="I486" s="184">
        <v>0</v>
      </c>
      <c r="J486" s="184">
        <v>0</v>
      </c>
      <c r="K486" s="184">
        <v>0</v>
      </c>
      <c r="L486" s="184">
        <v>0</v>
      </c>
      <c r="M486" s="654" t="s">
        <v>24</v>
      </c>
      <c r="N486" s="670" t="s">
        <v>93</v>
      </c>
      <c r="O486" s="642">
        <v>1</v>
      </c>
      <c r="P486" s="184">
        <v>0</v>
      </c>
      <c r="Q486" s="184">
        <v>0</v>
      </c>
      <c r="R486" s="184">
        <v>0</v>
      </c>
      <c r="S486" s="184">
        <v>0</v>
      </c>
      <c r="T486" s="184">
        <v>2</v>
      </c>
      <c r="U486" s="184">
        <v>2</v>
      </c>
      <c r="V486" s="184">
        <v>1</v>
      </c>
      <c r="W486" s="184">
        <v>1</v>
      </c>
      <c r="X486" s="184">
        <v>0</v>
      </c>
      <c r="Y486" s="184">
        <v>0</v>
      </c>
      <c r="Z486" s="184">
        <v>0</v>
      </c>
      <c r="AA486" s="184">
        <v>0</v>
      </c>
      <c r="AB486" s="184">
        <v>0</v>
      </c>
      <c r="AC486" s="185">
        <v>33.299999999999997</v>
      </c>
      <c r="AD486" s="185" t="s">
        <v>24</v>
      </c>
      <c r="AE486" s="184">
        <v>0</v>
      </c>
      <c r="AF486" s="185">
        <v>0</v>
      </c>
      <c r="AG486" s="184">
        <v>0</v>
      </c>
      <c r="AH486" s="185">
        <v>0</v>
      </c>
      <c r="AI486" s="184">
        <v>0</v>
      </c>
      <c r="AJ486" s="643">
        <v>0</v>
      </c>
    </row>
    <row r="487" spans="1:36" x14ac:dyDescent="0.2">
      <c r="A487" s="440" t="s">
        <v>57</v>
      </c>
      <c r="B487" s="642">
        <v>10</v>
      </c>
      <c r="C487" s="184">
        <v>0</v>
      </c>
      <c r="D487" s="184">
        <v>10</v>
      </c>
      <c r="E487" s="184">
        <v>0</v>
      </c>
      <c r="F487" s="184">
        <v>0</v>
      </c>
      <c r="G487" s="184">
        <v>0</v>
      </c>
      <c r="H487" s="184">
        <v>0</v>
      </c>
      <c r="I487" s="184">
        <v>0</v>
      </c>
      <c r="J487" s="184">
        <v>0</v>
      </c>
      <c r="K487" s="184">
        <v>0</v>
      </c>
      <c r="L487" s="184">
        <v>0</v>
      </c>
      <c r="M487" s="654" t="s">
        <v>24</v>
      </c>
      <c r="N487" s="670" t="s">
        <v>57</v>
      </c>
      <c r="O487" s="642">
        <v>0</v>
      </c>
      <c r="P487" s="184">
        <v>0</v>
      </c>
      <c r="Q487" s="184">
        <v>0</v>
      </c>
      <c r="R487" s="184">
        <v>0</v>
      </c>
      <c r="S487" s="184">
        <v>0</v>
      </c>
      <c r="T487" s="184">
        <v>2</v>
      </c>
      <c r="U487" s="184">
        <v>3</v>
      </c>
      <c r="V487" s="184">
        <v>2</v>
      </c>
      <c r="W487" s="184">
        <v>2</v>
      </c>
      <c r="X487" s="184">
        <v>1</v>
      </c>
      <c r="Y487" s="184">
        <v>0</v>
      </c>
      <c r="Z487" s="184">
        <v>0</v>
      </c>
      <c r="AA487" s="184">
        <v>0</v>
      </c>
      <c r="AB487" s="184">
        <v>0</v>
      </c>
      <c r="AC487" s="185">
        <v>40.799999999999997</v>
      </c>
      <c r="AD487" s="185" t="s">
        <v>24</v>
      </c>
      <c r="AE487" s="184">
        <v>0</v>
      </c>
      <c r="AF487" s="185">
        <v>0</v>
      </c>
      <c r="AG487" s="184">
        <v>0</v>
      </c>
      <c r="AH487" s="185">
        <v>0</v>
      </c>
      <c r="AI487" s="184">
        <v>0</v>
      </c>
      <c r="AJ487" s="643">
        <v>0</v>
      </c>
    </row>
    <row r="488" spans="1:36" x14ac:dyDescent="0.2">
      <c r="A488" s="440" t="s">
        <v>94</v>
      </c>
      <c r="B488" s="642">
        <v>12</v>
      </c>
      <c r="C488" s="184">
        <v>0</v>
      </c>
      <c r="D488" s="184">
        <v>12</v>
      </c>
      <c r="E488" s="184">
        <v>0</v>
      </c>
      <c r="F488" s="184">
        <v>0</v>
      </c>
      <c r="G488" s="184">
        <v>0</v>
      </c>
      <c r="H488" s="184">
        <v>0</v>
      </c>
      <c r="I488" s="184">
        <v>0</v>
      </c>
      <c r="J488" s="184">
        <v>0</v>
      </c>
      <c r="K488" s="184">
        <v>0</v>
      </c>
      <c r="L488" s="184">
        <v>0</v>
      </c>
      <c r="M488" s="654" t="s">
        <v>24</v>
      </c>
      <c r="N488" s="670" t="s">
        <v>94</v>
      </c>
      <c r="O488" s="642">
        <v>0</v>
      </c>
      <c r="P488" s="184">
        <v>0</v>
      </c>
      <c r="Q488" s="184">
        <v>0</v>
      </c>
      <c r="R488" s="184">
        <v>0</v>
      </c>
      <c r="S488" s="184">
        <v>0</v>
      </c>
      <c r="T488" s="184">
        <v>1</v>
      </c>
      <c r="U488" s="184">
        <v>3</v>
      </c>
      <c r="V488" s="184">
        <v>4</v>
      </c>
      <c r="W488" s="184">
        <v>3</v>
      </c>
      <c r="X488" s="184">
        <v>0</v>
      </c>
      <c r="Y488" s="184">
        <v>1</v>
      </c>
      <c r="Z488" s="184">
        <v>0</v>
      </c>
      <c r="AA488" s="184">
        <v>0</v>
      </c>
      <c r="AB488" s="184">
        <v>0</v>
      </c>
      <c r="AC488" s="185">
        <v>43.6</v>
      </c>
      <c r="AD488" s="185">
        <v>49.4</v>
      </c>
      <c r="AE488" s="184">
        <v>1</v>
      </c>
      <c r="AF488" s="185">
        <v>8.3333333333333321</v>
      </c>
      <c r="AG488" s="184">
        <v>0</v>
      </c>
      <c r="AH488" s="185">
        <v>0</v>
      </c>
      <c r="AI488" s="184">
        <v>0</v>
      </c>
      <c r="AJ488" s="643">
        <v>0</v>
      </c>
    </row>
    <row r="489" spans="1:36" x14ac:dyDescent="0.2">
      <c r="A489" s="440" t="s">
        <v>95</v>
      </c>
      <c r="B489" s="642">
        <v>6</v>
      </c>
      <c r="C489" s="184">
        <v>1</v>
      </c>
      <c r="D489" s="184">
        <v>5</v>
      </c>
      <c r="E489" s="184">
        <v>0</v>
      </c>
      <c r="F489" s="184">
        <v>0</v>
      </c>
      <c r="G489" s="184">
        <v>0</v>
      </c>
      <c r="H489" s="184">
        <v>0</v>
      </c>
      <c r="I489" s="184">
        <v>0</v>
      </c>
      <c r="J489" s="184">
        <v>0</v>
      </c>
      <c r="K489" s="184">
        <v>0</v>
      </c>
      <c r="L489" s="184">
        <v>0</v>
      </c>
      <c r="M489" s="654" t="s">
        <v>24</v>
      </c>
      <c r="N489" s="670" t="s">
        <v>95</v>
      </c>
      <c r="O489" s="642">
        <v>0</v>
      </c>
      <c r="P489" s="184">
        <v>1</v>
      </c>
      <c r="Q489" s="184">
        <v>0</v>
      </c>
      <c r="R489" s="184">
        <v>0</v>
      </c>
      <c r="S489" s="184">
        <v>0</v>
      </c>
      <c r="T489" s="184">
        <v>1</v>
      </c>
      <c r="U489" s="184">
        <v>2</v>
      </c>
      <c r="V489" s="184">
        <v>2</v>
      </c>
      <c r="W489" s="184">
        <v>0</v>
      </c>
      <c r="X489" s="184">
        <v>0</v>
      </c>
      <c r="Y489" s="184">
        <v>0</v>
      </c>
      <c r="Z489" s="184">
        <v>0</v>
      </c>
      <c r="AA489" s="184">
        <v>0</v>
      </c>
      <c r="AB489" s="184">
        <v>0</v>
      </c>
      <c r="AC489" s="185">
        <v>34.799999999999997</v>
      </c>
      <c r="AD489" s="185" t="s">
        <v>24</v>
      </c>
      <c r="AE489" s="184">
        <v>0</v>
      </c>
      <c r="AF489" s="185">
        <v>0</v>
      </c>
      <c r="AG489" s="184">
        <v>0</v>
      </c>
      <c r="AH489" s="185">
        <v>0</v>
      </c>
      <c r="AI489" s="184">
        <v>0</v>
      </c>
      <c r="AJ489" s="643">
        <v>0</v>
      </c>
    </row>
    <row r="490" spans="1:36" x14ac:dyDescent="0.2">
      <c r="A490" s="440" t="s">
        <v>96</v>
      </c>
      <c r="B490" s="642">
        <v>9</v>
      </c>
      <c r="C490" s="184">
        <v>0</v>
      </c>
      <c r="D490" s="184">
        <v>8</v>
      </c>
      <c r="E490" s="184">
        <v>0</v>
      </c>
      <c r="F490" s="184">
        <v>1</v>
      </c>
      <c r="G490" s="184">
        <v>0</v>
      </c>
      <c r="H490" s="184">
        <v>0</v>
      </c>
      <c r="I490" s="184">
        <v>0</v>
      </c>
      <c r="J490" s="184">
        <v>0</v>
      </c>
      <c r="K490" s="184">
        <v>0</v>
      </c>
      <c r="L490" s="184">
        <v>0</v>
      </c>
      <c r="M490" s="654" t="s">
        <v>24</v>
      </c>
      <c r="N490" s="670" t="s">
        <v>96</v>
      </c>
      <c r="O490" s="642">
        <v>0</v>
      </c>
      <c r="P490" s="184">
        <v>0</v>
      </c>
      <c r="Q490" s="184">
        <v>0</v>
      </c>
      <c r="R490" s="184">
        <v>0</v>
      </c>
      <c r="S490" s="184">
        <v>3</v>
      </c>
      <c r="T490" s="184">
        <v>2</v>
      </c>
      <c r="U490" s="184">
        <v>1</v>
      </c>
      <c r="V490" s="184">
        <v>2</v>
      </c>
      <c r="W490" s="184">
        <v>1</v>
      </c>
      <c r="X490" s="184">
        <v>0</v>
      </c>
      <c r="Y490" s="184">
        <v>0</v>
      </c>
      <c r="Z490" s="184">
        <v>0</v>
      </c>
      <c r="AA490" s="184">
        <v>0</v>
      </c>
      <c r="AB490" s="184">
        <v>0</v>
      </c>
      <c r="AC490" s="185">
        <v>34</v>
      </c>
      <c r="AD490" s="185" t="s">
        <v>24</v>
      </c>
      <c r="AE490" s="184">
        <v>0</v>
      </c>
      <c r="AF490" s="185">
        <v>0</v>
      </c>
      <c r="AG490" s="184">
        <v>0</v>
      </c>
      <c r="AH490" s="185">
        <v>0</v>
      </c>
      <c r="AI490" s="184">
        <v>0</v>
      </c>
      <c r="AJ490" s="643">
        <v>0</v>
      </c>
    </row>
    <row r="491" spans="1:36" x14ac:dyDescent="0.2">
      <c r="A491" s="440" t="s">
        <v>58</v>
      </c>
      <c r="B491" s="642">
        <v>16</v>
      </c>
      <c r="C491" s="184">
        <v>2</v>
      </c>
      <c r="D491" s="184">
        <v>12</v>
      </c>
      <c r="E491" s="184">
        <v>0</v>
      </c>
      <c r="F491" s="184">
        <v>0</v>
      </c>
      <c r="G491" s="184">
        <v>0</v>
      </c>
      <c r="H491" s="184">
        <v>2</v>
      </c>
      <c r="I491" s="184">
        <v>0</v>
      </c>
      <c r="J491" s="184">
        <v>0</v>
      </c>
      <c r="K491" s="184">
        <v>0</v>
      </c>
      <c r="L491" s="184">
        <v>0</v>
      </c>
      <c r="M491" s="654" t="s">
        <v>24</v>
      </c>
      <c r="N491" s="670" t="s">
        <v>58</v>
      </c>
      <c r="O491" s="642">
        <v>0</v>
      </c>
      <c r="P491" s="184">
        <v>1</v>
      </c>
      <c r="Q491" s="184">
        <v>4</v>
      </c>
      <c r="R491" s="184">
        <v>0</v>
      </c>
      <c r="S491" s="184">
        <v>1</v>
      </c>
      <c r="T491" s="184">
        <v>1</v>
      </c>
      <c r="U491" s="184">
        <v>5</v>
      </c>
      <c r="V491" s="184">
        <v>4</v>
      </c>
      <c r="W491" s="184">
        <v>0</v>
      </c>
      <c r="X491" s="184">
        <v>0</v>
      </c>
      <c r="Y491" s="184">
        <v>0</v>
      </c>
      <c r="Z491" s="184">
        <v>0</v>
      </c>
      <c r="AA491" s="184">
        <v>0</v>
      </c>
      <c r="AB491" s="184">
        <v>0</v>
      </c>
      <c r="AC491" s="185">
        <v>31.8</v>
      </c>
      <c r="AD491" s="185">
        <v>43.1</v>
      </c>
      <c r="AE491" s="184">
        <v>0</v>
      </c>
      <c r="AF491" s="185">
        <v>0</v>
      </c>
      <c r="AG491" s="184">
        <v>0</v>
      </c>
      <c r="AH491" s="185">
        <v>0</v>
      </c>
      <c r="AI491" s="184">
        <v>0</v>
      </c>
      <c r="AJ491" s="643">
        <v>0</v>
      </c>
    </row>
    <row r="492" spans="1:36" x14ac:dyDescent="0.2">
      <c r="A492" s="440" t="s">
        <v>97</v>
      </c>
      <c r="B492" s="642">
        <v>19</v>
      </c>
      <c r="C492" s="184">
        <v>7</v>
      </c>
      <c r="D492" s="184">
        <v>12</v>
      </c>
      <c r="E492" s="184">
        <v>0</v>
      </c>
      <c r="F492" s="184">
        <v>0</v>
      </c>
      <c r="G492" s="184">
        <v>0</v>
      </c>
      <c r="H492" s="184">
        <v>0</v>
      </c>
      <c r="I492" s="184">
        <v>0</v>
      </c>
      <c r="J492" s="184">
        <v>0</v>
      </c>
      <c r="K492" s="184">
        <v>0</v>
      </c>
      <c r="L492" s="184">
        <v>0</v>
      </c>
      <c r="M492" s="654" t="s">
        <v>24</v>
      </c>
      <c r="N492" s="670" t="s">
        <v>97</v>
      </c>
      <c r="O492" s="642">
        <v>0</v>
      </c>
      <c r="P492" s="184">
        <v>2</v>
      </c>
      <c r="Q492" s="184">
        <v>4</v>
      </c>
      <c r="R492" s="184">
        <v>0</v>
      </c>
      <c r="S492" s="184">
        <v>0</v>
      </c>
      <c r="T492" s="184">
        <v>2</v>
      </c>
      <c r="U492" s="184">
        <v>8</v>
      </c>
      <c r="V492" s="184">
        <v>2</v>
      </c>
      <c r="W492" s="184">
        <v>0</v>
      </c>
      <c r="X492" s="184">
        <v>1</v>
      </c>
      <c r="Y492" s="184">
        <v>0</v>
      </c>
      <c r="Z492" s="184">
        <v>0</v>
      </c>
      <c r="AA492" s="184">
        <v>0</v>
      </c>
      <c r="AB492" s="184">
        <v>0</v>
      </c>
      <c r="AC492" s="185">
        <v>30.7</v>
      </c>
      <c r="AD492" s="185">
        <v>40.9</v>
      </c>
      <c r="AE492" s="184">
        <v>0</v>
      </c>
      <c r="AF492" s="185">
        <v>0</v>
      </c>
      <c r="AG492" s="184">
        <v>0</v>
      </c>
      <c r="AH492" s="185">
        <v>0</v>
      </c>
      <c r="AI492" s="184">
        <v>0</v>
      </c>
      <c r="AJ492" s="643">
        <v>0</v>
      </c>
    </row>
    <row r="493" spans="1:36" x14ac:dyDescent="0.2">
      <c r="A493" s="440" t="s">
        <v>98</v>
      </c>
      <c r="B493" s="642">
        <v>10</v>
      </c>
      <c r="C493" s="184">
        <v>1</v>
      </c>
      <c r="D493" s="184">
        <v>9</v>
      </c>
      <c r="E493" s="184">
        <v>0</v>
      </c>
      <c r="F493" s="184">
        <v>0</v>
      </c>
      <c r="G493" s="184">
        <v>0</v>
      </c>
      <c r="H493" s="184">
        <v>0</v>
      </c>
      <c r="I493" s="184">
        <v>0</v>
      </c>
      <c r="J493" s="184">
        <v>0</v>
      </c>
      <c r="K493" s="184">
        <v>0</v>
      </c>
      <c r="L493" s="184">
        <v>0</v>
      </c>
      <c r="M493" s="654" t="s">
        <v>24</v>
      </c>
      <c r="N493" s="670" t="s">
        <v>98</v>
      </c>
      <c r="O493" s="642">
        <v>0</v>
      </c>
      <c r="P493" s="184">
        <v>1</v>
      </c>
      <c r="Q493" s="184">
        <v>0</v>
      </c>
      <c r="R493" s="184">
        <v>0</v>
      </c>
      <c r="S493" s="184">
        <v>0</v>
      </c>
      <c r="T493" s="184">
        <v>0</v>
      </c>
      <c r="U493" s="184">
        <v>2</v>
      </c>
      <c r="V493" s="184">
        <v>7</v>
      </c>
      <c r="W493" s="184">
        <v>0</v>
      </c>
      <c r="X493" s="184">
        <v>0</v>
      </c>
      <c r="Y493" s="184">
        <v>0</v>
      </c>
      <c r="Z493" s="184">
        <v>0</v>
      </c>
      <c r="AA493" s="184">
        <v>0</v>
      </c>
      <c r="AB493" s="184">
        <v>0</v>
      </c>
      <c r="AC493" s="185">
        <v>38.299999999999997</v>
      </c>
      <c r="AD493" s="185" t="s">
        <v>24</v>
      </c>
      <c r="AE493" s="184">
        <v>0</v>
      </c>
      <c r="AF493" s="185">
        <v>0</v>
      </c>
      <c r="AG493" s="184">
        <v>0</v>
      </c>
      <c r="AH493" s="185">
        <v>0</v>
      </c>
      <c r="AI493" s="184">
        <v>0</v>
      </c>
      <c r="AJ493" s="643">
        <v>0</v>
      </c>
    </row>
    <row r="494" spans="1:36" x14ac:dyDescent="0.2">
      <c r="A494" s="440" t="s">
        <v>99</v>
      </c>
      <c r="B494" s="642">
        <v>10</v>
      </c>
      <c r="C494" s="184">
        <v>2</v>
      </c>
      <c r="D494" s="184">
        <v>6</v>
      </c>
      <c r="E494" s="184">
        <v>0</v>
      </c>
      <c r="F494" s="184">
        <v>2</v>
      </c>
      <c r="G494" s="184">
        <v>0</v>
      </c>
      <c r="H494" s="184">
        <v>0</v>
      </c>
      <c r="I494" s="184">
        <v>0</v>
      </c>
      <c r="J494" s="184">
        <v>0</v>
      </c>
      <c r="K494" s="184">
        <v>0</v>
      </c>
      <c r="L494" s="184">
        <v>0</v>
      </c>
      <c r="M494" s="654" t="s">
        <v>24</v>
      </c>
      <c r="N494" s="670" t="s">
        <v>99</v>
      </c>
      <c r="O494" s="642">
        <v>0</v>
      </c>
      <c r="P494" s="184">
        <v>1</v>
      </c>
      <c r="Q494" s="184">
        <v>1</v>
      </c>
      <c r="R494" s="184">
        <v>0</v>
      </c>
      <c r="S494" s="184">
        <v>1</v>
      </c>
      <c r="T494" s="184">
        <v>1</v>
      </c>
      <c r="U494" s="184">
        <v>4</v>
      </c>
      <c r="V494" s="184">
        <v>2</v>
      </c>
      <c r="W494" s="184">
        <v>0</v>
      </c>
      <c r="X494" s="184">
        <v>0</v>
      </c>
      <c r="Y494" s="184">
        <v>0</v>
      </c>
      <c r="Z494" s="184">
        <v>0</v>
      </c>
      <c r="AA494" s="184">
        <v>0</v>
      </c>
      <c r="AB494" s="184">
        <v>0</v>
      </c>
      <c r="AC494" s="185">
        <v>31.8</v>
      </c>
      <c r="AD494" s="185" t="s">
        <v>24</v>
      </c>
      <c r="AE494" s="184">
        <v>0</v>
      </c>
      <c r="AF494" s="185">
        <v>0</v>
      </c>
      <c r="AG494" s="184">
        <v>0</v>
      </c>
      <c r="AH494" s="185">
        <v>0</v>
      </c>
      <c r="AI494" s="184">
        <v>0</v>
      </c>
      <c r="AJ494" s="643">
        <v>0</v>
      </c>
    </row>
    <row r="495" spans="1:36" x14ac:dyDescent="0.2">
      <c r="A495" s="440" t="s">
        <v>60</v>
      </c>
      <c r="B495" s="642">
        <v>12</v>
      </c>
      <c r="C495" s="184">
        <v>0</v>
      </c>
      <c r="D495" s="184">
        <v>10</v>
      </c>
      <c r="E495" s="184">
        <v>1</v>
      </c>
      <c r="F495" s="184">
        <v>0</v>
      </c>
      <c r="G495" s="184">
        <v>0</v>
      </c>
      <c r="H495" s="184">
        <v>1</v>
      </c>
      <c r="I495" s="184">
        <v>0</v>
      </c>
      <c r="J495" s="184">
        <v>0</v>
      </c>
      <c r="K495" s="184">
        <v>0</v>
      </c>
      <c r="L495" s="184">
        <v>0</v>
      </c>
      <c r="M495" s="654" t="s">
        <v>24</v>
      </c>
      <c r="N495" s="670" t="s">
        <v>60</v>
      </c>
      <c r="O495" s="642">
        <v>0</v>
      </c>
      <c r="P495" s="184">
        <v>0</v>
      </c>
      <c r="Q495" s="184">
        <v>1</v>
      </c>
      <c r="R495" s="184">
        <v>0</v>
      </c>
      <c r="S495" s="184">
        <v>1</v>
      </c>
      <c r="T495" s="184">
        <v>2</v>
      </c>
      <c r="U495" s="184">
        <v>4</v>
      </c>
      <c r="V495" s="184">
        <v>2</v>
      </c>
      <c r="W495" s="184">
        <v>1</v>
      </c>
      <c r="X495" s="184">
        <v>1</v>
      </c>
      <c r="Y495" s="184">
        <v>0</v>
      </c>
      <c r="Z495" s="184">
        <v>0</v>
      </c>
      <c r="AA495" s="184">
        <v>0</v>
      </c>
      <c r="AB495" s="184">
        <v>0</v>
      </c>
      <c r="AC495" s="185">
        <v>37.1</v>
      </c>
      <c r="AD495" s="185">
        <v>48.5</v>
      </c>
      <c r="AE495" s="184">
        <v>0</v>
      </c>
      <c r="AF495" s="185">
        <v>0</v>
      </c>
      <c r="AG495" s="184">
        <v>0</v>
      </c>
      <c r="AH495" s="185">
        <v>0</v>
      </c>
      <c r="AI495" s="184">
        <v>0</v>
      </c>
      <c r="AJ495" s="643">
        <v>0</v>
      </c>
    </row>
    <row r="496" spans="1:36" x14ac:dyDescent="0.2">
      <c r="A496" s="440" t="s">
        <v>100</v>
      </c>
      <c r="B496" s="642">
        <v>3</v>
      </c>
      <c r="C496" s="184">
        <v>0</v>
      </c>
      <c r="D496" s="184">
        <v>3</v>
      </c>
      <c r="E496" s="184">
        <v>0</v>
      </c>
      <c r="F496" s="184">
        <v>0</v>
      </c>
      <c r="G496" s="184">
        <v>0</v>
      </c>
      <c r="H496" s="184">
        <v>0</v>
      </c>
      <c r="I496" s="184">
        <v>0</v>
      </c>
      <c r="J496" s="184">
        <v>0</v>
      </c>
      <c r="K496" s="184">
        <v>0</v>
      </c>
      <c r="L496" s="184">
        <v>0</v>
      </c>
      <c r="M496" s="654" t="s">
        <v>24</v>
      </c>
      <c r="N496" s="670" t="s">
        <v>100</v>
      </c>
      <c r="O496" s="642">
        <v>0</v>
      </c>
      <c r="P496" s="184">
        <v>0</v>
      </c>
      <c r="Q496" s="184">
        <v>0</v>
      </c>
      <c r="R496" s="184">
        <v>0</v>
      </c>
      <c r="S496" s="184">
        <v>0</v>
      </c>
      <c r="T496" s="184">
        <v>0</v>
      </c>
      <c r="U496" s="184">
        <v>0</v>
      </c>
      <c r="V496" s="184">
        <v>1</v>
      </c>
      <c r="W496" s="184">
        <v>1</v>
      </c>
      <c r="X496" s="184">
        <v>1</v>
      </c>
      <c r="Y496" s="184">
        <v>0</v>
      </c>
      <c r="Z496" s="184">
        <v>0</v>
      </c>
      <c r="AA496" s="184">
        <v>0</v>
      </c>
      <c r="AB496" s="184">
        <v>0</v>
      </c>
      <c r="AC496" s="185">
        <v>49.1</v>
      </c>
      <c r="AD496" s="185" t="s">
        <v>24</v>
      </c>
      <c r="AE496" s="184">
        <v>0</v>
      </c>
      <c r="AF496" s="185">
        <v>0</v>
      </c>
      <c r="AG496" s="184">
        <v>0</v>
      </c>
      <c r="AH496" s="185">
        <v>0</v>
      </c>
      <c r="AI496" s="184">
        <v>0</v>
      </c>
      <c r="AJ496" s="643">
        <v>0</v>
      </c>
    </row>
    <row r="497" spans="1:36" x14ac:dyDescent="0.2">
      <c r="A497" s="440" t="s">
        <v>101</v>
      </c>
      <c r="B497" s="642">
        <v>11</v>
      </c>
      <c r="C497" s="184">
        <v>0</v>
      </c>
      <c r="D497" s="184">
        <v>10</v>
      </c>
      <c r="E497" s="184">
        <v>0</v>
      </c>
      <c r="F497" s="184">
        <v>1</v>
      </c>
      <c r="G497" s="184">
        <v>0</v>
      </c>
      <c r="H497" s="184">
        <v>0</v>
      </c>
      <c r="I497" s="184">
        <v>0</v>
      </c>
      <c r="J497" s="184">
        <v>0</v>
      </c>
      <c r="K497" s="184">
        <v>0</v>
      </c>
      <c r="L497" s="184">
        <v>0</v>
      </c>
      <c r="M497" s="654" t="s">
        <v>24</v>
      </c>
      <c r="N497" s="670" t="s">
        <v>101</v>
      </c>
      <c r="O497" s="642">
        <v>0</v>
      </c>
      <c r="P497" s="184">
        <v>0</v>
      </c>
      <c r="Q497" s="184">
        <v>0</v>
      </c>
      <c r="R497" s="184">
        <v>1</v>
      </c>
      <c r="S497" s="184">
        <v>0</v>
      </c>
      <c r="T497" s="184">
        <v>3</v>
      </c>
      <c r="U497" s="184">
        <v>5</v>
      </c>
      <c r="V497" s="184">
        <v>0</v>
      </c>
      <c r="W497" s="184">
        <v>2</v>
      </c>
      <c r="X497" s="184">
        <v>0</v>
      </c>
      <c r="Y497" s="184">
        <v>0</v>
      </c>
      <c r="Z497" s="184">
        <v>0</v>
      </c>
      <c r="AA497" s="184">
        <v>0</v>
      </c>
      <c r="AB497" s="184">
        <v>0</v>
      </c>
      <c r="AC497" s="185">
        <v>36.299999999999997</v>
      </c>
      <c r="AD497" s="185">
        <v>47.7</v>
      </c>
      <c r="AE497" s="184">
        <v>0</v>
      </c>
      <c r="AF497" s="185">
        <v>0</v>
      </c>
      <c r="AG497" s="184">
        <v>0</v>
      </c>
      <c r="AH497" s="185">
        <v>0</v>
      </c>
      <c r="AI497" s="184">
        <v>0</v>
      </c>
      <c r="AJ497" s="643">
        <v>0</v>
      </c>
    </row>
    <row r="498" spans="1:36" x14ac:dyDescent="0.2">
      <c r="A498" s="440" t="s">
        <v>102</v>
      </c>
      <c r="B498" s="642">
        <v>15</v>
      </c>
      <c r="C498" s="184">
        <v>0</v>
      </c>
      <c r="D498" s="184">
        <v>15</v>
      </c>
      <c r="E498" s="184">
        <v>0</v>
      </c>
      <c r="F498" s="184">
        <v>0</v>
      </c>
      <c r="G498" s="184">
        <v>0</v>
      </c>
      <c r="H498" s="184">
        <v>0</v>
      </c>
      <c r="I498" s="184">
        <v>0</v>
      </c>
      <c r="J498" s="184">
        <v>0</v>
      </c>
      <c r="K498" s="184">
        <v>0</v>
      </c>
      <c r="L498" s="184">
        <v>0</v>
      </c>
      <c r="M498" s="654" t="s">
        <v>24</v>
      </c>
      <c r="N498" s="670" t="s">
        <v>102</v>
      </c>
      <c r="O498" s="642">
        <v>0</v>
      </c>
      <c r="P498" s="184">
        <v>0</v>
      </c>
      <c r="Q498" s="184">
        <v>0</v>
      </c>
      <c r="R498" s="184">
        <v>0</v>
      </c>
      <c r="S498" s="184">
        <v>0</v>
      </c>
      <c r="T498" s="184">
        <v>1</v>
      </c>
      <c r="U498" s="184">
        <v>5</v>
      </c>
      <c r="V498" s="184">
        <v>6</v>
      </c>
      <c r="W498" s="184">
        <v>2</v>
      </c>
      <c r="X498" s="184">
        <v>1</v>
      </c>
      <c r="Y498" s="184">
        <v>0</v>
      </c>
      <c r="Z498" s="184">
        <v>0</v>
      </c>
      <c r="AA498" s="184">
        <v>0</v>
      </c>
      <c r="AB498" s="184">
        <v>0</v>
      </c>
      <c r="AC498" s="185">
        <v>41.2</v>
      </c>
      <c r="AD498" s="185">
        <v>48.4</v>
      </c>
      <c r="AE498" s="184">
        <v>0</v>
      </c>
      <c r="AF498" s="185">
        <v>0</v>
      </c>
      <c r="AG498" s="184">
        <v>0</v>
      </c>
      <c r="AH498" s="185">
        <v>0</v>
      </c>
      <c r="AI498" s="184">
        <v>0</v>
      </c>
      <c r="AJ498" s="643">
        <v>0</v>
      </c>
    </row>
    <row r="499" spans="1:36" x14ac:dyDescent="0.2">
      <c r="A499" s="440" t="s">
        <v>62</v>
      </c>
      <c r="B499" s="642">
        <v>7</v>
      </c>
      <c r="C499" s="184">
        <v>0</v>
      </c>
      <c r="D499" s="184">
        <v>7</v>
      </c>
      <c r="E499" s="184">
        <v>0</v>
      </c>
      <c r="F499" s="184">
        <v>0</v>
      </c>
      <c r="G499" s="184">
        <v>0</v>
      </c>
      <c r="H499" s="184">
        <v>0</v>
      </c>
      <c r="I499" s="184">
        <v>0</v>
      </c>
      <c r="J499" s="184">
        <v>0</v>
      </c>
      <c r="K499" s="184">
        <v>0</v>
      </c>
      <c r="L499" s="184">
        <v>0</v>
      </c>
      <c r="M499" s="654" t="s">
        <v>24</v>
      </c>
      <c r="N499" s="670" t="s">
        <v>62</v>
      </c>
      <c r="O499" s="642">
        <v>0</v>
      </c>
      <c r="P499" s="184">
        <v>0</v>
      </c>
      <c r="Q499" s="184">
        <v>0</v>
      </c>
      <c r="R499" s="184">
        <v>0</v>
      </c>
      <c r="S499" s="184">
        <v>1</v>
      </c>
      <c r="T499" s="184">
        <v>2</v>
      </c>
      <c r="U499" s="184">
        <v>1</v>
      </c>
      <c r="V499" s="184">
        <v>2</v>
      </c>
      <c r="W499" s="184">
        <v>0</v>
      </c>
      <c r="X499" s="184">
        <v>1</v>
      </c>
      <c r="Y499" s="184">
        <v>0</v>
      </c>
      <c r="Z499" s="184">
        <v>0</v>
      </c>
      <c r="AA499" s="184">
        <v>0</v>
      </c>
      <c r="AB499" s="184">
        <v>0</v>
      </c>
      <c r="AC499" s="185">
        <v>38.200000000000003</v>
      </c>
      <c r="AD499" s="185" t="s">
        <v>24</v>
      </c>
      <c r="AE499" s="184">
        <v>0</v>
      </c>
      <c r="AF499" s="185">
        <v>0</v>
      </c>
      <c r="AG499" s="184">
        <v>0</v>
      </c>
      <c r="AH499" s="185">
        <v>0</v>
      </c>
      <c r="AI499" s="184">
        <v>0</v>
      </c>
      <c r="AJ499" s="643">
        <v>0</v>
      </c>
    </row>
    <row r="500" spans="1:36" x14ac:dyDescent="0.2">
      <c r="A500" s="440" t="s">
        <v>103</v>
      </c>
      <c r="B500" s="642">
        <v>5</v>
      </c>
      <c r="C500" s="184">
        <v>0</v>
      </c>
      <c r="D500" s="184">
        <v>5</v>
      </c>
      <c r="E500" s="184">
        <v>0</v>
      </c>
      <c r="F500" s="184">
        <v>0</v>
      </c>
      <c r="G500" s="184">
        <v>0</v>
      </c>
      <c r="H500" s="184">
        <v>0</v>
      </c>
      <c r="I500" s="184">
        <v>0</v>
      </c>
      <c r="J500" s="184">
        <v>0</v>
      </c>
      <c r="K500" s="184">
        <v>0</v>
      </c>
      <c r="L500" s="184">
        <v>0</v>
      </c>
      <c r="M500" s="654" t="s">
        <v>24</v>
      </c>
      <c r="N500" s="670" t="s">
        <v>103</v>
      </c>
      <c r="O500" s="642">
        <v>0</v>
      </c>
      <c r="P500" s="184">
        <v>0</v>
      </c>
      <c r="Q500" s="184">
        <v>0</v>
      </c>
      <c r="R500" s="184">
        <v>0</v>
      </c>
      <c r="S500" s="184">
        <v>0</v>
      </c>
      <c r="T500" s="184">
        <v>0</v>
      </c>
      <c r="U500" s="184">
        <v>2</v>
      </c>
      <c r="V500" s="184">
        <v>2</v>
      </c>
      <c r="W500" s="184">
        <v>1</v>
      </c>
      <c r="X500" s="184">
        <v>0</v>
      </c>
      <c r="Y500" s="184">
        <v>0</v>
      </c>
      <c r="Z500" s="184">
        <v>0</v>
      </c>
      <c r="AA500" s="184">
        <v>0</v>
      </c>
      <c r="AB500" s="184">
        <v>0</v>
      </c>
      <c r="AC500" s="185">
        <v>40.700000000000003</v>
      </c>
      <c r="AD500" s="185" t="s">
        <v>24</v>
      </c>
      <c r="AE500" s="184">
        <v>0</v>
      </c>
      <c r="AF500" s="185">
        <v>0</v>
      </c>
      <c r="AG500" s="184">
        <v>0</v>
      </c>
      <c r="AH500" s="185">
        <v>0</v>
      </c>
      <c r="AI500" s="184">
        <v>0</v>
      </c>
      <c r="AJ500" s="643">
        <v>0</v>
      </c>
    </row>
    <row r="501" spans="1:36" x14ac:dyDescent="0.2">
      <c r="A501" s="440" t="s">
        <v>104</v>
      </c>
      <c r="B501" s="642">
        <v>5</v>
      </c>
      <c r="C501" s="184">
        <v>0</v>
      </c>
      <c r="D501" s="184">
        <v>4</v>
      </c>
      <c r="E501" s="184">
        <v>0</v>
      </c>
      <c r="F501" s="184">
        <v>1</v>
      </c>
      <c r="G501" s="184">
        <v>0</v>
      </c>
      <c r="H501" s="184">
        <v>0</v>
      </c>
      <c r="I501" s="184">
        <v>0</v>
      </c>
      <c r="J501" s="184">
        <v>0</v>
      </c>
      <c r="K501" s="184">
        <v>0</v>
      </c>
      <c r="L501" s="184">
        <v>0</v>
      </c>
      <c r="M501" s="654" t="s">
        <v>24</v>
      </c>
      <c r="N501" s="670" t="s">
        <v>104</v>
      </c>
      <c r="O501" s="642">
        <v>0</v>
      </c>
      <c r="P501" s="184">
        <v>0</v>
      </c>
      <c r="Q501" s="184">
        <v>0</v>
      </c>
      <c r="R501" s="184">
        <v>0</v>
      </c>
      <c r="S501" s="184">
        <v>0</v>
      </c>
      <c r="T501" s="184">
        <v>0</v>
      </c>
      <c r="U501" s="184">
        <v>3</v>
      </c>
      <c r="V501" s="184">
        <v>1</v>
      </c>
      <c r="W501" s="184">
        <v>1</v>
      </c>
      <c r="X501" s="184">
        <v>0</v>
      </c>
      <c r="Y501" s="184">
        <v>0</v>
      </c>
      <c r="Z501" s="184">
        <v>0</v>
      </c>
      <c r="AA501" s="184">
        <v>0</v>
      </c>
      <c r="AB501" s="184">
        <v>0</v>
      </c>
      <c r="AC501" s="185">
        <v>40.200000000000003</v>
      </c>
      <c r="AD501" s="185" t="s">
        <v>24</v>
      </c>
      <c r="AE501" s="184">
        <v>0</v>
      </c>
      <c r="AF501" s="185">
        <v>0</v>
      </c>
      <c r="AG501" s="184">
        <v>0</v>
      </c>
      <c r="AH501" s="185">
        <v>0</v>
      </c>
      <c r="AI501" s="184">
        <v>0</v>
      </c>
      <c r="AJ501" s="643">
        <v>0</v>
      </c>
    </row>
    <row r="502" spans="1:36" x14ac:dyDescent="0.2">
      <c r="A502" s="440" t="s">
        <v>105</v>
      </c>
      <c r="B502" s="642">
        <v>10</v>
      </c>
      <c r="C502" s="184">
        <v>0</v>
      </c>
      <c r="D502" s="184">
        <v>10</v>
      </c>
      <c r="E502" s="184">
        <v>0</v>
      </c>
      <c r="F502" s="184">
        <v>0</v>
      </c>
      <c r="G502" s="184">
        <v>0</v>
      </c>
      <c r="H502" s="184">
        <v>0</v>
      </c>
      <c r="I502" s="184">
        <v>0</v>
      </c>
      <c r="J502" s="184">
        <v>0</v>
      </c>
      <c r="K502" s="184">
        <v>0</v>
      </c>
      <c r="L502" s="184">
        <v>0</v>
      </c>
      <c r="M502" s="654" t="s">
        <v>24</v>
      </c>
      <c r="N502" s="670" t="s">
        <v>105</v>
      </c>
      <c r="O502" s="642">
        <v>0</v>
      </c>
      <c r="P502" s="184">
        <v>0</v>
      </c>
      <c r="Q502" s="184">
        <v>0</v>
      </c>
      <c r="R502" s="184">
        <v>0</v>
      </c>
      <c r="S502" s="184">
        <v>1</v>
      </c>
      <c r="T502" s="184">
        <v>3</v>
      </c>
      <c r="U502" s="184">
        <v>4</v>
      </c>
      <c r="V502" s="184">
        <v>0</v>
      </c>
      <c r="W502" s="184">
        <v>1</v>
      </c>
      <c r="X502" s="184">
        <v>1</v>
      </c>
      <c r="Y502" s="184">
        <v>0</v>
      </c>
      <c r="Z502" s="184">
        <v>0</v>
      </c>
      <c r="AA502" s="184">
        <v>0</v>
      </c>
      <c r="AB502" s="184">
        <v>0</v>
      </c>
      <c r="AC502" s="185">
        <v>38.200000000000003</v>
      </c>
      <c r="AD502" s="185" t="s">
        <v>24</v>
      </c>
      <c r="AE502" s="184">
        <v>0</v>
      </c>
      <c r="AF502" s="185">
        <v>0</v>
      </c>
      <c r="AG502" s="184">
        <v>0</v>
      </c>
      <c r="AH502" s="185">
        <v>0</v>
      </c>
      <c r="AI502" s="184">
        <v>0</v>
      </c>
      <c r="AJ502" s="643">
        <v>0</v>
      </c>
    </row>
    <row r="503" spans="1:36" x14ac:dyDescent="0.2">
      <c r="A503" s="440" t="s">
        <v>64</v>
      </c>
      <c r="B503" s="642">
        <v>9</v>
      </c>
      <c r="C503" s="184">
        <v>0</v>
      </c>
      <c r="D503" s="184">
        <v>8</v>
      </c>
      <c r="E503" s="184">
        <v>0</v>
      </c>
      <c r="F503" s="184">
        <v>1</v>
      </c>
      <c r="G503" s="184">
        <v>0</v>
      </c>
      <c r="H503" s="184">
        <v>0</v>
      </c>
      <c r="I503" s="184">
        <v>0</v>
      </c>
      <c r="J503" s="184">
        <v>0</v>
      </c>
      <c r="K503" s="184">
        <v>0</v>
      </c>
      <c r="L503" s="184">
        <v>0</v>
      </c>
      <c r="M503" s="654" t="s">
        <v>24</v>
      </c>
      <c r="N503" s="670" t="s">
        <v>64</v>
      </c>
      <c r="O503" s="642">
        <v>0</v>
      </c>
      <c r="P503" s="184">
        <v>0</v>
      </c>
      <c r="Q503" s="184">
        <v>0</v>
      </c>
      <c r="R503" s="184">
        <v>0</v>
      </c>
      <c r="S503" s="184">
        <v>0</v>
      </c>
      <c r="T503" s="184">
        <v>1</v>
      </c>
      <c r="U503" s="184">
        <v>5</v>
      </c>
      <c r="V503" s="184">
        <v>1</v>
      </c>
      <c r="W503" s="184">
        <v>2</v>
      </c>
      <c r="X503" s="184">
        <v>0</v>
      </c>
      <c r="Y503" s="184">
        <v>0</v>
      </c>
      <c r="Z503" s="184">
        <v>0</v>
      </c>
      <c r="AA503" s="184">
        <v>0</v>
      </c>
      <c r="AB503" s="184">
        <v>0</v>
      </c>
      <c r="AC503" s="185">
        <v>39.6</v>
      </c>
      <c r="AD503" s="185" t="s">
        <v>24</v>
      </c>
      <c r="AE503" s="184">
        <v>0</v>
      </c>
      <c r="AF503" s="185">
        <v>0</v>
      </c>
      <c r="AG503" s="184">
        <v>0</v>
      </c>
      <c r="AH503" s="185">
        <v>0</v>
      </c>
      <c r="AI503" s="184">
        <v>0</v>
      </c>
      <c r="AJ503" s="643">
        <v>0</v>
      </c>
    </row>
    <row r="504" spans="1:36" x14ac:dyDescent="0.2">
      <c r="A504" s="440" t="s">
        <v>106</v>
      </c>
      <c r="B504" s="642">
        <v>2</v>
      </c>
      <c r="C504" s="184">
        <v>0</v>
      </c>
      <c r="D504" s="184">
        <v>2</v>
      </c>
      <c r="E504" s="184">
        <v>0</v>
      </c>
      <c r="F504" s="184">
        <v>0</v>
      </c>
      <c r="G504" s="184">
        <v>0</v>
      </c>
      <c r="H504" s="184">
        <v>0</v>
      </c>
      <c r="I504" s="184">
        <v>0</v>
      </c>
      <c r="J504" s="184">
        <v>0</v>
      </c>
      <c r="K504" s="184">
        <v>0</v>
      </c>
      <c r="L504" s="184">
        <v>0</v>
      </c>
      <c r="M504" s="654" t="s">
        <v>24</v>
      </c>
      <c r="N504" s="670" t="s">
        <v>106</v>
      </c>
      <c r="O504" s="642">
        <v>0</v>
      </c>
      <c r="P504" s="184">
        <v>0</v>
      </c>
      <c r="Q504" s="184">
        <v>1</v>
      </c>
      <c r="R504" s="184">
        <v>0</v>
      </c>
      <c r="S504" s="184">
        <v>0</v>
      </c>
      <c r="T504" s="184">
        <v>0</v>
      </c>
      <c r="U504" s="184">
        <v>1</v>
      </c>
      <c r="V504" s="184">
        <v>0</v>
      </c>
      <c r="W504" s="184">
        <v>0</v>
      </c>
      <c r="X504" s="184">
        <v>0</v>
      </c>
      <c r="Y504" s="184">
        <v>0</v>
      </c>
      <c r="Z504" s="184">
        <v>0</v>
      </c>
      <c r="AA504" s="184">
        <v>0</v>
      </c>
      <c r="AB504" s="184">
        <v>0</v>
      </c>
      <c r="AC504" s="185">
        <v>28.3</v>
      </c>
      <c r="AD504" s="185" t="s">
        <v>24</v>
      </c>
      <c r="AE504" s="184">
        <v>0</v>
      </c>
      <c r="AF504" s="185">
        <v>0</v>
      </c>
      <c r="AG504" s="184">
        <v>0</v>
      </c>
      <c r="AH504" s="185">
        <v>0</v>
      </c>
      <c r="AI504" s="184">
        <v>0</v>
      </c>
      <c r="AJ504" s="643">
        <v>0</v>
      </c>
    </row>
    <row r="505" spans="1:36" x14ac:dyDescent="0.2">
      <c r="A505" s="440" t="s">
        <v>107</v>
      </c>
      <c r="B505" s="642">
        <v>4</v>
      </c>
      <c r="C505" s="184">
        <v>1</v>
      </c>
      <c r="D505" s="184">
        <v>3</v>
      </c>
      <c r="E505" s="184">
        <v>0</v>
      </c>
      <c r="F505" s="184">
        <v>0</v>
      </c>
      <c r="G505" s="184">
        <v>0</v>
      </c>
      <c r="H505" s="184">
        <v>0</v>
      </c>
      <c r="I505" s="184">
        <v>0</v>
      </c>
      <c r="J505" s="184">
        <v>0</v>
      </c>
      <c r="K505" s="184">
        <v>0</v>
      </c>
      <c r="L505" s="184">
        <v>0</v>
      </c>
      <c r="M505" s="654" t="s">
        <v>24</v>
      </c>
      <c r="N505" s="670" t="s">
        <v>107</v>
      </c>
      <c r="O505" s="642">
        <v>1</v>
      </c>
      <c r="P505" s="184">
        <v>0</v>
      </c>
      <c r="Q505" s="184">
        <v>0</v>
      </c>
      <c r="R505" s="184">
        <v>0</v>
      </c>
      <c r="S505" s="184">
        <v>0</v>
      </c>
      <c r="T505" s="184">
        <v>2</v>
      </c>
      <c r="U505" s="184">
        <v>0</v>
      </c>
      <c r="V505" s="184">
        <v>1</v>
      </c>
      <c r="W505" s="184">
        <v>0</v>
      </c>
      <c r="X505" s="184">
        <v>0</v>
      </c>
      <c r="Y505" s="184">
        <v>0</v>
      </c>
      <c r="Z505" s="184">
        <v>0</v>
      </c>
      <c r="AA505" s="184">
        <v>0</v>
      </c>
      <c r="AB505" s="184">
        <v>0</v>
      </c>
      <c r="AC505" s="185">
        <v>28.9</v>
      </c>
      <c r="AD505" s="185" t="s">
        <v>24</v>
      </c>
      <c r="AE505" s="184">
        <v>0</v>
      </c>
      <c r="AF505" s="185">
        <v>0</v>
      </c>
      <c r="AG505" s="184">
        <v>0</v>
      </c>
      <c r="AH505" s="185">
        <v>0</v>
      </c>
      <c r="AI505" s="184">
        <v>0</v>
      </c>
      <c r="AJ505" s="643">
        <v>0</v>
      </c>
    </row>
    <row r="506" spans="1:36" x14ac:dyDescent="0.2">
      <c r="A506" s="440" t="s">
        <v>108</v>
      </c>
      <c r="B506" s="642">
        <v>9</v>
      </c>
      <c r="C506" s="184">
        <v>1</v>
      </c>
      <c r="D506" s="184">
        <v>8</v>
      </c>
      <c r="E506" s="184">
        <v>0</v>
      </c>
      <c r="F506" s="184">
        <v>0</v>
      </c>
      <c r="G506" s="184">
        <v>0</v>
      </c>
      <c r="H506" s="184">
        <v>0</v>
      </c>
      <c r="I506" s="184">
        <v>0</v>
      </c>
      <c r="J506" s="184">
        <v>0</v>
      </c>
      <c r="K506" s="184">
        <v>0</v>
      </c>
      <c r="L506" s="184">
        <v>0</v>
      </c>
      <c r="M506" s="654" t="s">
        <v>24</v>
      </c>
      <c r="N506" s="670" t="s">
        <v>108</v>
      </c>
      <c r="O506" s="642">
        <v>0</v>
      </c>
      <c r="P506" s="184">
        <v>1</v>
      </c>
      <c r="Q506" s="184">
        <v>0</v>
      </c>
      <c r="R506" s="184">
        <v>0</v>
      </c>
      <c r="S506" s="184">
        <v>1</v>
      </c>
      <c r="T506" s="184">
        <v>1</v>
      </c>
      <c r="U506" s="184">
        <v>3</v>
      </c>
      <c r="V506" s="184">
        <v>1</v>
      </c>
      <c r="W506" s="184">
        <v>2</v>
      </c>
      <c r="X506" s="184">
        <v>0</v>
      </c>
      <c r="Y506" s="184">
        <v>0</v>
      </c>
      <c r="Z506" s="184">
        <v>0</v>
      </c>
      <c r="AA506" s="184">
        <v>0</v>
      </c>
      <c r="AB506" s="184">
        <v>0</v>
      </c>
      <c r="AC506" s="185">
        <v>35.799999999999997</v>
      </c>
      <c r="AD506" s="185" t="s">
        <v>24</v>
      </c>
      <c r="AE506" s="184">
        <v>0</v>
      </c>
      <c r="AF506" s="185">
        <v>0</v>
      </c>
      <c r="AG506" s="184">
        <v>0</v>
      </c>
      <c r="AH506" s="185">
        <v>0</v>
      </c>
      <c r="AI506" s="184">
        <v>0</v>
      </c>
      <c r="AJ506" s="643">
        <v>0</v>
      </c>
    </row>
    <row r="507" spans="1:36" x14ac:dyDescent="0.2">
      <c r="A507" s="440" t="s">
        <v>65</v>
      </c>
      <c r="B507" s="646">
        <v>12</v>
      </c>
      <c r="C507" s="186">
        <v>0</v>
      </c>
      <c r="D507" s="186">
        <v>11</v>
      </c>
      <c r="E507" s="186">
        <v>0</v>
      </c>
      <c r="F507" s="186">
        <v>1</v>
      </c>
      <c r="G507" s="186">
        <v>0</v>
      </c>
      <c r="H507" s="186">
        <v>0</v>
      </c>
      <c r="I507" s="186">
        <v>0</v>
      </c>
      <c r="J507" s="186">
        <v>0</v>
      </c>
      <c r="K507" s="186">
        <v>0</v>
      </c>
      <c r="L507" s="186">
        <v>0</v>
      </c>
      <c r="M507" s="656" t="s">
        <v>24</v>
      </c>
      <c r="N507" s="670" t="s">
        <v>65</v>
      </c>
      <c r="O507" s="646">
        <v>0</v>
      </c>
      <c r="P507" s="186">
        <v>0</v>
      </c>
      <c r="Q507" s="186">
        <v>0</v>
      </c>
      <c r="R507" s="186">
        <v>0</v>
      </c>
      <c r="S507" s="186">
        <v>1</v>
      </c>
      <c r="T507" s="186">
        <v>6</v>
      </c>
      <c r="U507" s="186">
        <v>3</v>
      </c>
      <c r="V507" s="186">
        <v>1</v>
      </c>
      <c r="W507" s="186">
        <v>1</v>
      </c>
      <c r="X507" s="186">
        <v>0</v>
      </c>
      <c r="Y507" s="186">
        <v>0</v>
      </c>
      <c r="Z507" s="186">
        <v>0</v>
      </c>
      <c r="AA507" s="186">
        <v>0</v>
      </c>
      <c r="AB507" s="186">
        <v>0</v>
      </c>
      <c r="AC507" s="187">
        <v>35.1</v>
      </c>
      <c r="AD507" s="187">
        <v>40.9</v>
      </c>
      <c r="AE507" s="186">
        <v>0</v>
      </c>
      <c r="AF507" s="187">
        <v>0</v>
      </c>
      <c r="AG507" s="186">
        <v>0</v>
      </c>
      <c r="AH507" s="187">
        <v>0</v>
      </c>
      <c r="AI507" s="186">
        <v>0</v>
      </c>
      <c r="AJ507" s="647">
        <v>0</v>
      </c>
    </row>
    <row r="508" spans="1:36" x14ac:dyDescent="0.2">
      <c r="A508" s="440" t="s">
        <v>109</v>
      </c>
      <c r="B508" s="642">
        <v>6</v>
      </c>
      <c r="C508" s="184">
        <v>0</v>
      </c>
      <c r="D508" s="184">
        <v>6</v>
      </c>
      <c r="E508" s="184">
        <v>0</v>
      </c>
      <c r="F508" s="184">
        <v>0</v>
      </c>
      <c r="G508" s="184">
        <v>0</v>
      </c>
      <c r="H508" s="184">
        <v>0</v>
      </c>
      <c r="I508" s="184">
        <v>0</v>
      </c>
      <c r="J508" s="184">
        <v>0</v>
      </c>
      <c r="K508" s="184">
        <v>0</v>
      </c>
      <c r="L508" s="184">
        <v>0</v>
      </c>
      <c r="M508" s="654" t="s">
        <v>24</v>
      </c>
      <c r="N508" s="670" t="s">
        <v>109</v>
      </c>
      <c r="O508" s="642">
        <v>0</v>
      </c>
      <c r="P508" s="184">
        <v>0</v>
      </c>
      <c r="Q508" s="184">
        <v>0</v>
      </c>
      <c r="R508" s="184">
        <v>0</v>
      </c>
      <c r="S508" s="184">
        <v>0</v>
      </c>
      <c r="T508" s="184">
        <v>0</v>
      </c>
      <c r="U508" s="184">
        <v>2</v>
      </c>
      <c r="V508" s="184">
        <v>3</v>
      </c>
      <c r="W508" s="184">
        <v>1</v>
      </c>
      <c r="X508" s="184">
        <v>0</v>
      </c>
      <c r="Y508" s="184">
        <v>0</v>
      </c>
      <c r="Z508" s="184">
        <v>0</v>
      </c>
      <c r="AA508" s="184">
        <v>0</v>
      </c>
      <c r="AB508" s="184">
        <v>0</v>
      </c>
      <c r="AC508" s="185">
        <v>42.2</v>
      </c>
      <c r="AD508" s="185" t="s">
        <v>24</v>
      </c>
      <c r="AE508" s="184">
        <v>0</v>
      </c>
      <c r="AF508" s="185">
        <v>0</v>
      </c>
      <c r="AG508" s="184">
        <v>0</v>
      </c>
      <c r="AH508" s="185">
        <v>0</v>
      </c>
      <c r="AI508" s="184">
        <v>0</v>
      </c>
      <c r="AJ508" s="643">
        <v>0</v>
      </c>
    </row>
    <row r="509" spans="1:36" x14ac:dyDescent="0.2">
      <c r="A509" s="440" t="s">
        <v>110</v>
      </c>
      <c r="B509" s="642">
        <v>10</v>
      </c>
      <c r="C509" s="184">
        <v>0</v>
      </c>
      <c r="D509" s="184">
        <v>10</v>
      </c>
      <c r="E509" s="184">
        <v>0</v>
      </c>
      <c r="F509" s="184">
        <v>0</v>
      </c>
      <c r="G509" s="184">
        <v>0</v>
      </c>
      <c r="H509" s="184">
        <v>0</v>
      </c>
      <c r="I509" s="184">
        <v>0</v>
      </c>
      <c r="J509" s="184">
        <v>0</v>
      </c>
      <c r="K509" s="184">
        <v>0</v>
      </c>
      <c r="L509" s="184">
        <v>0</v>
      </c>
      <c r="M509" s="654" t="s">
        <v>24</v>
      </c>
      <c r="N509" s="670" t="s">
        <v>110</v>
      </c>
      <c r="O509" s="642">
        <v>0</v>
      </c>
      <c r="P509" s="184">
        <v>0</v>
      </c>
      <c r="Q509" s="184">
        <v>0</v>
      </c>
      <c r="R509" s="184">
        <v>0</v>
      </c>
      <c r="S509" s="184">
        <v>0</v>
      </c>
      <c r="T509" s="184">
        <v>3</v>
      </c>
      <c r="U509" s="184">
        <v>1</v>
      </c>
      <c r="V509" s="184">
        <v>2</v>
      </c>
      <c r="W509" s="184">
        <v>0</v>
      </c>
      <c r="X509" s="184">
        <v>4</v>
      </c>
      <c r="Y509" s="184">
        <v>0</v>
      </c>
      <c r="Z509" s="184">
        <v>0</v>
      </c>
      <c r="AA509" s="184">
        <v>0</v>
      </c>
      <c r="AB509" s="184">
        <v>0</v>
      </c>
      <c r="AC509" s="185">
        <v>43.2</v>
      </c>
      <c r="AD509" s="185" t="s">
        <v>24</v>
      </c>
      <c r="AE509" s="184">
        <v>0</v>
      </c>
      <c r="AF509" s="185">
        <v>0</v>
      </c>
      <c r="AG509" s="184">
        <v>0</v>
      </c>
      <c r="AH509" s="185">
        <v>0</v>
      </c>
      <c r="AI509" s="184">
        <v>0</v>
      </c>
      <c r="AJ509" s="643">
        <v>0</v>
      </c>
    </row>
    <row r="510" spans="1:36" x14ac:dyDescent="0.2">
      <c r="A510" s="440" t="s">
        <v>111</v>
      </c>
      <c r="B510" s="642">
        <v>15</v>
      </c>
      <c r="C510" s="184">
        <v>0</v>
      </c>
      <c r="D510" s="184">
        <v>15</v>
      </c>
      <c r="E510" s="184">
        <v>0</v>
      </c>
      <c r="F510" s="184">
        <v>0</v>
      </c>
      <c r="G510" s="184">
        <v>0</v>
      </c>
      <c r="H510" s="184">
        <v>0</v>
      </c>
      <c r="I510" s="184">
        <v>0</v>
      </c>
      <c r="J510" s="184">
        <v>0</v>
      </c>
      <c r="K510" s="184">
        <v>0</v>
      </c>
      <c r="L510" s="184">
        <v>0</v>
      </c>
      <c r="M510" s="654" t="s">
        <v>24</v>
      </c>
      <c r="N510" s="670" t="s">
        <v>111</v>
      </c>
      <c r="O510" s="642">
        <v>0</v>
      </c>
      <c r="P510" s="184">
        <v>0</v>
      </c>
      <c r="Q510" s="184">
        <v>0</v>
      </c>
      <c r="R510" s="184">
        <v>1</v>
      </c>
      <c r="S510" s="184">
        <v>0</v>
      </c>
      <c r="T510" s="184">
        <v>2</v>
      </c>
      <c r="U510" s="184">
        <v>7</v>
      </c>
      <c r="V510" s="184">
        <v>3</v>
      </c>
      <c r="W510" s="184">
        <v>2</v>
      </c>
      <c r="X510" s="184">
        <v>0</v>
      </c>
      <c r="Y510" s="184">
        <v>0</v>
      </c>
      <c r="Z510" s="184">
        <v>0</v>
      </c>
      <c r="AA510" s="184">
        <v>0</v>
      </c>
      <c r="AB510" s="184">
        <v>0</v>
      </c>
      <c r="AC510" s="185">
        <v>37.700000000000003</v>
      </c>
      <c r="AD510" s="185">
        <v>43.9</v>
      </c>
      <c r="AE510" s="184">
        <v>0</v>
      </c>
      <c r="AF510" s="185">
        <v>0</v>
      </c>
      <c r="AG510" s="184">
        <v>0</v>
      </c>
      <c r="AH510" s="185">
        <v>0</v>
      </c>
      <c r="AI510" s="184">
        <v>0</v>
      </c>
      <c r="AJ510" s="643">
        <v>0</v>
      </c>
    </row>
    <row r="511" spans="1:36" x14ac:dyDescent="0.2">
      <c r="A511" s="440" t="s">
        <v>67</v>
      </c>
      <c r="B511" s="642">
        <v>6</v>
      </c>
      <c r="C511" s="184">
        <v>0</v>
      </c>
      <c r="D511" s="184">
        <v>6</v>
      </c>
      <c r="E511" s="184">
        <v>0</v>
      </c>
      <c r="F511" s="184">
        <v>0</v>
      </c>
      <c r="G511" s="184">
        <v>0</v>
      </c>
      <c r="H511" s="184">
        <v>0</v>
      </c>
      <c r="I511" s="184">
        <v>0</v>
      </c>
      <c r="J511" s="184">
        <v>0</v>
      </c>
      <c r="K511" s="184">
        <v>0</v>
      </c>
      <c r="L511" s="184">
        <v>0</v>
      </c>
      <c r="M511" s="654" t="s">
        <v>24</v>
      </c>
      <c r="N511" s="670" t="s">
        <v>67</v>
      </c>
      <c r="O511" s="642">
        <v>0</v>
      </c>
      <c r="P511" s="184">
        <v>0</v>
      </c>
      <c r="Q511" s="184">
        <v>0</v>
      </c>
      <c r="R511" s="184">
        <v>0</v>
      </c>
      <c r="S511" s="184">
        <v>1</v>
      </c>
      <c r="T511" s="184">
        <v>0</v>
      </c>
      <c r="U511" s="184">
        <v>3</v>
      </c>
      <c r="V511" s="184">
        <v>1</v>
      </c>
      <c r="W511" s="184">
        <v>1</v>
      </c>
      <c r="X511" s="184">
        <v>0</v>
      </c>
      <c r="Y511" s="184">
        <v>0</v>
      </c>
      <c r="Z511" s="184">
        <v>0</v>
      </c>
      <c r="AA511" s="184">
        <v>0</v>
      </c>
      <c r="AB511" s="184">
        <v>0</v>
      </c>
      <c r="AC511" s="185">
        <v>38.299999999999997</v>
      </c>
      <c r="AD511" s="185" t="s">
        <v>24</v>
      </c>
      <c r="AE511" s="184">
        <v>0</v>
      </c>
      <c r="AF511" s="185">
        <v>0</v>
      </c>
      <c r="AG511" s="184">
        <v>0</v>
      </c>
      <c r="AH511" s="185">
        <v>0</v>
      </c>
      <c r="AI511" s="184">
        <v>0</v>
      </c>
      <c r="AJ511" s="643">
        <v>0</v>
      </c>
    </row>
    <row r="512" spans="1:36" x14ac:dyDescent="0.2">
      <c r="A512" s="440" t="s">
        <v>112</v>
      </c>
      <c r="B512" s="642">
        <v>7</v>
      </c>
      <c r="C512" s="184">
        <v>0</v>
      </c>
      <c r="D512" s="184">
        <v>6</v>
      </c>
      <c r="E512" s="184">
        <v>0</v>
      </c>
      <c r="F512" s="184">
        <v>1</v>
      </c>
      <c r="G512" s="184">
        <v>0</v>
      </c>
      <c r="H512" s="184">
        <v>0</v>
      </c>
      <c r="I512" s="184">
        <v>0</v>
      </c>
      <c r="J512" s="184">
        <v>0</v>
      </c>
      <c r="K512" s="184">
        <v>0</v>
      </c>
      <c r="L512" s="184">
        <v>0</v>
      </c>
      <c r="M512" s="654" t="s">
        <v>24</v>
      </c>
      <c r="N512" s="670" t="s">
        <v>112</v>
      </c>
      <c r="O512" s="642">
        <v>0</v>
      </c>
      <c r="P512" s="184">
        <v>0</v>
      </c>
      <c r="Q512" s="184">
        <v>0</v>
      </c>
      <c r="R512" s="184">
        <v>0</v>
      </c>
      <c r="S512" s="184">
        <v>0</v>
      </c>
      <c r="T512" s="184">
        <v>3</v>
      </c>
      <c r="U512" s="184">
        <v>2</v>
      </c>
      <c r="V512" s="184">
        <v>1</v>
      </c>
      <c r="W512" s="184">
        <v>0</v>
      </c>
      <c r="X512" s="184">
        <v>0</v>
      </c>
      <c r="Y512" s="184">
        <v>1</v>
      </c>
      <c r="Z512" s="184">
        <v>0</v>
      </c>
      <c r="AA512" s="184">
        <v>0</v>
      </c>
      <c r="AB512" s="184">
        <v>0</v>
      </c>
      <c r="AC512" s="185">
        <v>40.200000000000003</v>
      </c>
      <c r="AD512" s="185" t="s">
        <v>24</v>
      </c>
      <c r="AE512" s="184">
        <v>1</v>
      </c>
      <c r="AF512" s="185">
        <v>14.285714285714285</v>
      </c>
      <c r="AG512" s="184">
        <v>0</v>
      </c>
      <c r="AH512" s="185">
        <v>0</v>
      </c>
      <c r="AI512" s="184">
        <v>0</v>
      </c>
      <c r="AJ512" s="643">
        <v>0</v>
      </c>
    </row>
    <row r="513" spans="1:36" x14ac:dyDescent="0.2">
      <c r="A513" s="440" t="s">
        <v>113</v>
      </c>
      <c r="B513" s="642">
        <v>5</v>
      </c>
      <c r="C513" s="184">
        <v>0</v>
      </c>
      <c r="D513" s="184">
        <v>5</v>
      </c>
      <c r="E513" s="184">
        <v>0</v>
      </c>
      <c r="F513" s="184">
        <v>0</v>
      </c>
      <c r="G513" s="184">
        <v>0</v>
      </c>
      <c r="H513" s="184">
        <v>0</v>
      </c>
      <c r="I513" s="184">
        <v>0</v>
      </c>
      <c r="J513" s="184">
        <v>0</v>
      </c>
      <c r="K513" s="184">
        <v>0</v>
      </c>
      <c r="L513" s="184">
        <v>0</v>
      </c>
      <c r="M513" s="654" t="s">
        <v>24</v>
      </c>
      <c r="N513" s="670" t="s">
        <v>113</v>
      </c>
      <c r="O513" s="642">
        <v>0</v>
      </c>
      <c r="P513" s="184">
        <v>0</v>
      </c>
      <c r="Q513" s="184">
        <v>0</v>
      </c>
      <c r="R513" s="184">
        <v>0</v>
      </c>
      <c r="S513" s="184">
        <v>0</v>
      </c>
      <c r="T513" s="184">
        <v>0</v>
      </c>
      <c r="U513" s="184">
        <v>3</v>
      </c>
      <c r="V513" s="184">
        <v>1</v>
      </c>
      <c r="W513" s="184">
        <v>1</v>
      </c>
      <c r="X513" s="184">
        <v>0</v>
      </c>
      <c r="Y513" s="184">
        <v>0</v>
      </c>
      <c r="Z513" s="184">
        <v>0</v>
      </c>
      <c r="AA513" s="184">
        <v>0</v>
      </c>
      <c r="AB513" s="184">
        <v>0</v>
      </c>
      <c r="AC513" s="185">
        <v>40.4</v>
      </c>
      <c r="AD513" s="185" t="s">
        <v>24</v>
      </c>
      <c r="AE513" s="184">
        <v>0</v>
      </c>
      <c r="AF513" s="185">
        <v>0</v>
      </c>
      <c r="AG513" s="184">
        <v>0</v>
      </c>
      <c r="AH513" s="185">
        <v>0</v>
      </c>
      <c r="AI513" s="184">
        <v>0</v>
      </c>
      <c r="AJ513" s="643">
        <v>0</v>
      </c>
    </row>
    <row r="514" spans="1:36" x14ac:dyDescent="0.2">
      <c r="A514" s="440" t="s">
        <v>114</v>
      </c>
      <c r="B514" s="642">
        <v>3</v>
      </c>
      <c r="C514" s="184">
        <v>0</v>
      </c>
      <c r="D514" s="184">
        <v>3</v>
      </c>
      <c r="E514" s="184">
        <v>0</v>
      </c>
      <c r="F514" s="184">
        <v>0</v>
      </c>
      <c r="G514" s="184">
        <v>0</v>
      </c>
      <c r="H514" s="184">
        <v>0</v>
      </c>
      <c r="I514" s="184">
        <v>0</v>
      </c>
      <c r="J514" s="184">
        <v>0</v>
      </c>
      <c r="K514" s="184">
        <v>0</v>
      </c>
      <c r="L514" s="184">
        <v>0</v>
      </c>
      <c r="M514" s="654" t="s">
        <v>24</v>
      </c>
      <c r="N514" s="670" t="s">
        <v>114</v>
      </c>
      <c r="O514" s="642">
        <v>0</v>
      </c>
      <c r="P514" s="184">
        <v>0</v>
      </c>
      <c r="Q514" s="184">
        <v>0</v>
      </c>
      <c r="R514" s="184">
        <v>0</v>
      </c>
      <c r="S514" s="184">
        <v>0</v>
      </c>
      <c r="T514" s="184">
        <v>0</v>
      </c>
      <c r="U514" s="184">
        <v>3</v>
      </c>
      <c r="V514" s="184">
        <v>0</v>
      </c>
      <c r="W514" s="184">
        <v>0</v>
      </c>
      <c r="X514" s="184">
        <v>0</v>
      </c>
      <c r="Y514" s="184">
        <v>0</v>
      </c>
      <c r="Z514" s="184">
        <v>0</v>
      </c>
      <c r="AA514" s="184">
        <v>0</v>
      </c>
      <c r="AB514" s="184">
        <v>0</v>
      </c>
      <c r="AC514" s="185">
        <v>36.1</v>
      </c>
      <c r="AD514" s="185" t="s">
        <v>24</v>
      </c>
      <c r="AE514" s="184">
        <v>0</v>
      </c>
      <c r="AF514" s="185">
        <v>0</v>
      </c>
      <c r="AG514" s="184">
        <v>0</v>
      </c>
      <c r="AH514" s="185">
        <v>0</v>
      </c>
      <c r="AI514" s="184">
        <v>0</v>
      </c>
      <c r="AJ514" s="643">
        <v>0</v>
      </c>
    </row>
    <row r="515" spans="1:36" x14ac:dyDescent="0.2">
      <c r="A515" s="440" t="s">
        <v>69</v>
      </c>
      <c r="B515" s="646">
        <v>4</v>
      </c>
      <c r="C515" s="186">
        <v>0</v>
      </c>
      <c r="D515" s="186">
        <v>4</v>
      </c>
      <c r="E515" s="186">
        <v>0</v>
      </c>
      <c r="F515" s="186">
        <v>0</v>
      </c>
      <c r="G515" s="186">
        <v>0</v>
      </c>
      <c r="H515" s="186">
        <v>0</v>
      </c>
      <c r="I515" s="186">
        <v>0</v>
      </c>
      <c r="J515" s="186">
        <v>0</v>
      </c>
      <c r="K515" s="186">
        <v>0</v>
      </c>
      <c r="L515" s="186">
        <v>0</v>
      </c>
      <c r="M515" s="656" t="s">
        <v>24</v>
      </c>
      <c r="N515" s="670" t="s">
        <v>69</v>
      </c>
      <c r="O515" s="646">
        <v>0</v>
      </c>
      <c r="P515" s="186">
        <v>0</v>
      </c>
      <c r="Q515" s="186">
        <v>0</v>
      </c>
      <c r="R515" s="186">
        <v>0</v>
      </c>
      <c r="S515" s="186">
        <v>0</v>
      </c>
      <c r="T515" s="186">
        <v>1</v>
      </c>
      <c r="U515" s="186">
        <v>1</v>
      </c>
      <c r="V515" s="186">
        <v>1</v>
      </c>
      <c r="W515" s="186">
        <v>1</v>
      </c>
      <c r="X515" s="186">
        <v>0</v>
      </c>
      <c r="Y515" s="186">
        <v>0</v>
      </c>
      <c r="Z515" s="186">
        <v>0</v>
      </c>
      <c r="AA515" s="186">
        <v>0</v>
      </c>
      <c r="AB515" s="186">
        <v>0</v>
      </c>
      <c r="AC515" s="187">
        <v>40.1</v>
      </c>
      <c r="AD515" s="187" t="s">
        <v>24</v>
      </c>
      <c r="AE515" s="186">
        <v>0</v>
      </c>
      <c r="AF515" s="187">
        <v>0</v>
      </c>
      <c r="AG515" s="186">
        <v>0</v>
      </c>
      <c r="AH515" s="187">
        <v>0</v>
      </c>
      <c r="AI515" s="186">
        <v>0</v>
      </c>
      <c r="AJ515" s="647">
        <v>0</v>
      </c>
    </row>
    <row r="516" spans="1:36" x14ac:dyDescent="0.2">
      <c r="A516" s="440" t="s">
        <v>115</v>
      </c>
      <c r="B516" s="642">
        <v>10</v>
      </c>
      <c r="C516" s="184">
        <v>1</v>
      </c>
      <c r="D516" s="184">
        <v>9</v>
      </c>
      <c r="E516" s="184">
        <v>0</v>
      </c>
      <c r="F516" s="184">
        <v>0</v>
      </c>
      <c r="G516" s="184">
        <v>0</v>
      </c>
      <c r="H516" s="184">
        <v>0</v>
      </c>
      <c r="I516" s="184">
        <v>0</v>
      </c>
      <c r="J516" s="184">
        <v>0</v>
      </c>
      <c r="K516" s="184">
        <v>0</v>
      </c>
      <c r="L516" s="184">
        <v>0</v>
      </c>
      <c r="M516" s="654" t="s">
        <v>24</v>
      </c>
      <c r="N516" s="670" t="s">
        <v>115</v>
      </c>
      <c r="O516" s="642">
        <v>0</v>
      </c>
      <c r="P516" s="184">
        <v>1</v>
      </c>
      <c r="Q516" s="184">
        <v>0</v>
      </c>
      <c r="R516" s="184">
        <v>0</v>
      </c>
      <c r="S516" s="184">
        <v>1</v>
      </c>
      <c r="T516" s="184">
        <v>2</v>
      </c>
      <c r="U516" s="184">
        <v>1</v>
      </c>
      <c r="V516" s="184">
        <v>2</v>
      </c>
      <c r="W516" s="184">
        <v>0</v>
      </c>
      <c r="X516" s="184">
        <v>3</v>
      </c>
      <c r="Y516" s="184">
        <v>0</v>
      </c>
      <c r="Z516" s="184">
        <v>0</v>
      </c>
      <c r="AA516" s="184">
        <v>0</v>
      </c>
      <c r="AB516" s="184">
        <v>0</v>
      </c>
      <c r="AC516" s="185">
        <v>38.299999999999997</v>
      </c>
      <c r="AD516" s="185" t="s">
        <v>24</v>
      </c>
      <c r="AE516" s="184">
        <v>0</v>
      </c>
      <c r="AF516" s="185">
        <v>0</v>
      </c>
      <c r="AG516" s="184">
        <v>0</v>
      </c>
      <c r="AH516" s="185">
        <v>0</v>
      </c>
      <c r="AI516" s="184">
        <v>0</v>
      </c>
      <c r="AJ516" s="643">
        <v>0</v>
      </c>
    </row>
    <row r="517" spans="1:36" x14ac:dyDescent="0.2">
      <c r="A517" s="440" t="s">
        <v>116</v>
      </c>
      <c r="B517" s="642">
        <v>10</v>
      </c>
      <c r="C517" s="184">
        <v>1</v>
      </c>
      <c r="D517" s="184">
        <v>9</v>
      </c>
      <c r="E517" s="184">
        <v>0</v>
      </c>
      <c r="F517" s="184">
        <v>0</v>
      </c>
      <c r="G517" s="184">
        <v>0</v>
      </c>
      <c r="H517" s="184">
        <v>0</v>
      </c>
      <c r="I517" s="184">
        <v>0</v>
      </c>
      <c r="J517" s="184">
        <v>0</v>
      </c>
      <c r="K517" s="184">
        <v>0</v>
      </c>
      <c r="L517" s="184">
        <v>0</v>
      </c>
      <c r="M517" s="654" t="s">
        <v>24</v>
      </c>
      <c r="N517" s="670" t="s">
        <v>116</v>
      </c>
      <c r="O517" s="642">
        <v>0</v>
      </c>
      <c r="P517" s="184">
        <v>1</v>
      </c>
      <c r="Q517" s="184">
        <v>0</v>
      </c>
      <c r="R517" s="184">
        <v>0</v>
      </c>
      <c r="S517" s="184">
        <v>0</v>
      </c>
      <c r="T517" s="184">
        <v>3</v>
      </c>
      <c r="U517" s="184">
        <v>1</v>
      </c>
      <c r="V517" s="184">
        <v>5</v>
      </c>
      <c r="W517" s="184">
        <v>0</v>
      </c>
      <c r="X517" s="184">
        <v>0</v>
      </c>
      <c r="Y517" s="184">
        <v>0</v>
      </c>
      <c r="Z517" s="184">
        <v>0</v>
      </c>
      <c r="AA517" s="184">
        <v>0</v>
      </c>
      <c r="AB517" s="184">
        <v>0</v>
      </c>
      <c r="AC517" s="185">
        <v>37.200000000000003</v>
      </c>
      <c r="AD517" s="185" t="s">
        <v>24</v>
      </c>
      <c r="AE517" s="184">
        <v>0</v>
      </c>
      <c r="AF517" s="185">
        <v>0</v>
      </c>
      <c r="AG517" s="184">
        <v>0</v>
      </c>
      <c r="AH517" s="185">
        <v>0</v>
      </c>
      <c r="AI517" s="184">
        <v>0</v>
      </c>
      <c r="AJ517" s="643">
        <v>0</v>
      </c>
    </row>
    <row r="518" spans="1:36" ht="13.5" thickBot="1" x14ac:dyDescent="0.25">
      <c r="A518" s="440" t="s">
        <v>117</v>
      </c>
      <c r="B518" s="644">
        <v>4</v>
      </c>
      <c r="C518" s="188">
        <v>0</v>
      </c>
      <c r="D518" s="188">
        <v>4</v>
      </c>
      <c r="E518" s="188">
        <v>0</v>
      </c>
      <c r="F518" s="188">
        <v>0</v>
      </c>
      <c r="G518" s="188">
        <v>0</v>
      </c>
      <c r="H518" s="188">
        <v>0</v>
      </c>
      <c r="I518" s="188">
        <v>0</v>
      </c>
      <c r="J518" s="188">
        <v>0</v>
      </c>
      <c r="K518" s="188">
        <v>0</v>
      </c>
      <c r="L518" s="188">
        <v>0</v>
      </c>
      <c r="M518" s="655" t="s">
        <v>24</v>
      </c>
      <c r="N518" s="670" t="s">
        <v>117</v>
      </c>
      <c r="O518" s="644">
        <v>0</v>
      </c>
      <c r="P518" s="188">
        <v>0</v>
      </c>
      <c r="Q518" s="188">
        <v>0</v>
      </c>
      <c r="R518" s="188">
        <v>0</v>
      </c>
      <c r="S518" s="188">
        <v>0</v>
      </c>
      <c r="T518" s="188">
        <v>1</v>
      </c>
      <c r="U518" s="188">
        <v>1</v>
      </c>
      <c r="V518" s="188">
        <v>2</v>
      </c>
      <c r="W518" s="188">
        <v>0</v>
      </c>
      <c r="X518" s="188">
        <v>0</v>
      </c>
      <c r="Y518" s="188">
        <v>0</v>
      </c>
      <c r="Z518" s="188">
        <v>0</v>
      </c>
      <c r="AA518" s="188">
        <v>0</v>
      </c>
      <c r="AB518" s="188">
        <v>0</v>
      </c>
      <c r="AC518" s="189">
        <v>39.1</v>
      </c>
      <c r="AD518" s="189" t="s">
        <v>24</v>
      </c>
      <c r="AE518" s="188">
        <v>0</v>
      </c>
      <c r="AF518" s="189">
        <v>0</v>
      </c>
      <c r="AG518" s="188">
        <v>0</v>
      </c>
      <c r="AH518" s="189">
        <v>0</v>
      </c>
      <c r="AI518" s="188">
        <v>0</v>
      </c>
      <c r="AJ518" s="645">
        <v>0</v>
      </c>
    </row>
    <row r="519" spans="1:36" x14ac:dyDescent="0.2">
      <c r="A519" s="440" t="s">
        <v>71</v>
      </c>
      <c r="B519" s="642">
        <v>6</v>
      </c>
      <c r="C519" s="184">
        <v>0</v>
      </c>
      <c r="D519" s="184">
        <v>6</v>
      </c>
      <c r="E519" s="184">
        <v>0</v>
      </c>
      <c r="F519" s="184">
        <v>0</v>
      </c>
      <c r="G519" s="184">
        <v>0</v>
      </c>
      <c r="H519" s="184">
        <v>0</v>
      </c>
      <c r="I519" s="184">
        <v>0</v>
      </c>
      <c r="J519" s="184">
        <v>0</v>
      </c>
      <c r="K519" s="184">
        <v>0</v>
      </c>
      <c r="L519" s="184">
        <v>0</v>
      </c>
      <c r="M519" s="654" t="s">
        <v>24</v>
      </c>
      <c r="N519" s="670" t="s">
        <v>71</v>
      </c>
      <c r="O519" s="642">
        <v>0</v>
      </c>
      <c r="P519" s="184">
        <v>0</v>
      </c>
      <c r="Q519" s="184">
        <v>0</v>
      </c>
      <c r="R519" s="184">
        <v>0</v>
      </c>
      <c r="S519" s="184">
        <v>0</v>
      </c>
      <c r="T519" s="184">
        <v>0</v>
      </c>
      <c r="U519" s="184">
        <v>2</v>
      </c>
      <c r="V519" s="184">
        <v>3</v>
      </c>
      <c r="W519" s="184">
        <v>1</v>
      </c>
      <c r="X519" s="184">
        <v>0</v>
      </c>
      <c r="Y519" s="184">
        <v>0</v>
      </c>
      <c r="Z519" s="184">
        <v>0</v>
      </c>
      <c r="AA519" s="184">
        <v>0</v>
      </c>
      <c r="AB519" s="184">
        <v>0</v>
      </c>
      <c r="AC519" s="185">
        <v>41.4</v>
      </c>
      <c r="AD519" s="185" t="s">
        <v>24</v>
      </c>
      <c r="AE519" s="184">
        <v>0</v>
      </c>
      <c r="AF519" s="185">
        <v>0</v>
      </c>
      <c r="AG519" s="184">
        <v>0</v>
      </c>
      <c r="AH519" s="185">
        <v>0</v>
      </c>
      <c r="AI519" s="184">
        <v>0</v>
      </c>
      <c r="AJ519" s="643">
        <v>0</v>
      </c>
    </row>
    <row r="520" spans="1:36" x14ac:dyDescent="0.2">
      <c r="A520" s="440" t="s">
        <v>118</v>
      </c>
      <c r="B520" s="642">
        <v>6</v>
      </c>
      <c r="C520" s="184">
        <v>0</v>
      </c>
      <c r="D520" s="184">
        <v>5</v>
      </c>
      <c r="E520" s="184">
        <v>0</v>
      </c>
      <c r="F520" s="184">
        <v>1</v>
      </c>
      <c r="G520" s="184">
        <v>0</v>
      </c>
      <c r="H520" s="184">
        <v>0</v>
      </c>
      <c r="I520" s="184">
        <v>0</v>
      </c>
      <c r="J520" s="184">
        <v>0</v>
      </c>
      <c r="K520" s="184">
        <v>0</v>
      </c>
      <c r="L520" s="184">
        <v>0</v>
      </c>
      <c r="M520" s="654" t="s">
        <v>24</v>
      </c>
      <c r="N520" s="670" t="s">
        <v>118</v>
      </c>
      <c r="O520" s="642">
        <v>0</v>
      </c>
      <c r="P520" s="184">
        <v>0</v>
      </c>
      <c r="Q520" s="184">
        <v>0</v>
      </c>
      <c r="R520" s="184">
        <v>0</v>
      </c>
      <c r="S520" s="184">
        <v>0</v>
      </c>
      <c r="T520" s="184">
        <v>2</v>
      </c>
      <c r="U520" s="184">
        <v>3</v>
      </c>
      <c r="V520" s="184">
        <v>0</v>
      </c>
      <c r="W520" s="184">
        <v>1</v>
      </c>
      <c r="X520" s="184">
        <v>0</v>
      </c>
      <c r="Y520" s="184">
        <v>0</v>
      </c>
      <c r="Z520" s="184">
        <v>0</v>
      </c>
      <c r="AA520" s="184">
        <v>0</v>
      </c>
      <c r="AB520" s="184">
        <v>0</v>
      </c>
      <c r="AC520" s="185">
        <v>38.4</v>
      </c>
      <c r="AD520" s="185" t="s">
        <v>24</v>
      </c>
      <c r="AE520" s="184">
        <v>0</v>
      </c>
      <c r="AF520" s="185">
        <v>0</v>
      </c>
      <c r="AG520" s="184">
        <v>0</v>
      </c>
      <c r="AH520" s="185">
        <v>0</v>
      </c>
      <c r="AI520" s="184">
        <v>0</v>
      </c>
      <c r="AJ520" s="643">
        <v>0</v>
      </c>
    </row>
    <row r="521" spans="1:36" x14ac:dyDescent="0.2">
      <c r="A521" s="440" t="s">
        <v>119</v>
      </c>
      <c r="B521" s="642">
        <v>3</v>
      </c>
      <c r="C521" s="184">
        <v>0</v>
      </c>
      <c r="D521" s="184">
        <v>3</v>
      </c>
      <c r="E521" s="184">
        <v>0</v>
      </c>
      <c r="F521" s="184">
        <v>0</v>
      </c>
      <c r="G521" s="184">
        <v>0</v>
      </c>
      <c r="H521" s="184">
        <v>0</v>
      </c>
      <c r="I521" s="184">
        <v>0</v>
      </c>
      <c r="J521" s="184">
        <v>0</v>
      </c>
      <c r="K521" s="184">
        <v>0</v>
      </c>
      <c r="L521" s="184">
        <v>0</v>
      </c>
      <c r="M521" s="654" t="s">
        <v>24</v>
      </c>
      <c r="N521" s="670" t="s">
        <v>119</v>
      </c>
      <c r="O521" s="642">
        <v>0</v>
      </c>
      <c r="P521" s="184">
        <v>0</v>
      </c>
      <c r="Q521" s="184">
        <v>0</v>
      </c>
      <c r="R521" s="184">
        <v>0</v>
      </c>
      <c r="S521" s="184">
        <v>1</v>
      </c>
      <c r="T521" s="184">
        <v>0</v>
      </c>
      <c r="U521" s="184">
        <v>0</v>
      </c>
      <c r="V521" s="184">
        <v>2</v>
      </c>
      <c r="W521" s="184">
        <v>0</v>
      </c>
      <c r="X521" s="184">
        <v>0</v>
      </c>
      <c r="Y521" s="184">
        <v>0</v>
      </c>
      <c r="Z521" s="184">
        <v>0</v>
      </c>
      <c r="AA521" s="184">
        <v>0</v>
      </c>
      <c r="AB521" s="184">
        <v>0</v>
      </c>
      <c r="AC521" s="185">
        <v>36.1</v>
      </c>
      <c r="AD521" s="185" t="s">
        <v>24</v>
      </c>
      <c r="AE521" s="184">
        <v>0</v>
      </c>
      <c r="AF521" s="185">
        <v>0</v>
      </c>
      <c r="AG521" s="184">
        <v>0</v>
      </c>
      <c r="AH521" s="185">
        <v>0</v>
      </c>
      <c r="AI521" s="184">
        <v>0</v>
      </c>
      <c r="AJ521" s="643">
        <v>0</v>
      </c>
    </row>
    <row r="522" spans="1:36" x14ac:dyDescent="0.2">
      <c r="A522" s="440" t="s">
        <v>120</v>
      </c>
      <c r="B522" s="642">
        <v>8</v>
      </c>
      <c r="C522" s="184">
        <v>0</v>
      </c>
      <c r="D522" s="184">
        <v>8</v>
      </c>
      <c r="E522" s="184">
        <v>0</v>
      </c>
      <c r="F522" s="184">
        <v>0</v>
      </c>
      <c r="G522" s="184">
        <v>0</v>
      </c>
      <c r="H522" s="184">
        <v>0</v>
      </c>
      <c r="I522" s="184">
        <v>0</v>
      </c>
      <c r="J522" s="184">
        <v>0</v>
      </c>
      <c r="K522" s="184">
        <v>0</v>
      </c>
      <c r="L522" s="184">
        <v>0</v>
      </c>
      <c r="M522" s="654" t="s">
        <v>24</v>
      </c>
      <c r="N522" s="670" t="s">
        <v>120</v>
      </c>
      <c r="O522" s="642">
        <v>0</v>
      </c>
      <c r="P522" s="184">
        <v>0</v>
      </c>
      <c r="Q522" s="184">
        <v>0</v>
      </c>
      <c r="R522" s="184">
        <v>1</v>
      </c>
      <c r="S522" s="184">
        <v>1</v>
      </c>
      <c r="T522" s="184">
        <v>1</v>
      </c>
      <c r="U522" s="184">
        <v>1</v>
      </c>
      <c r="V522" s="184">
        <v>2</v>
      </c>
      <c r="W522" s="184">
        <v>1</v>
      </c>
      <c r="X522" s="184">
        <v>1</v>
      </c>
      <c r="Y522" s="184">
        <v>0</v>
      </c>
      <c r="Z522" s="184">
        <v>0</v>
      </c>
      <c r="AA522" s="184">
        <v>0</v>
      </c>
      <c r="AB522" s="184">
        <v>0</v>
      </c>
      <c r="AC522" s="185">
        <v>38.799999999999997</v>
      </c>
      <c r="AD522" s="185" t="s">
        <v>24</v>
      </c>
      <c r="AE522" s="184">
        <v>0</v>
      </c>
      <c r="AF522" s="185">
        <v>0</v>
      </c>
      <c r="AG522" s="184">
        <v>0</v>
      </c>
      <c r="AH522" s="185">
        <v>0</v>
      </c>
      <c r="AI522" s="184">
        <v>0</v>
      </c>
      <c r="AJ522" s="643">
        <v>0</v>
      </c>
    </row>
    <row r="523" spans="1:36" x14ac:dyDescent="0.2">
      <c r="A523" s="440" t="s">
        <v>72</v>
      </c>
      <c r="B523" s="642">
        <v>1</v>
      </c>
      <c r="C523" s="184">
        <v>0</v>
      </c>
      <c r="D523" s="184">
        <v>1</v>
      </c>
      <c r="E523" s="184">
        <v>0</v>
      </c>
      <c r="F523" s="184">
        <v>0</v>
      </c>
      <c r="G523" s="184">
        <v>0</v>
      </c>
      <c r="H523" s="184">
        <v>0</v>
      </c>
      <c r="I523" s="184">
        <v>0</v>
      </c>
      <c r="J523" s="184">
        <v>0</v>
      </c>
      <c r="K523" s="184">
        <v>0</v>
      </c>
      <c r="L523" s="184">
        <v>0</v>
      </c>
      <c r="M523" s="654" t="s">
        <v>24</v>
      </c>
      <c r="N523" s="670" t="s">
        <v>72</v>
      </c>
      <c r="O523" s="642">
        <v>0</v>
      </c>
      <c r="P523" s="184">
        <v>0</v>
      </c>
      <c r="Q523" s="184">
        <v>0</v>
      </c>
      <c r="R523" s="184">
        <v>0</v>
      </c>
      <c r="S523" s="184">
        <v>0</v>
      </c>
      <c r="T523" s="184">
        <v>0</v>
      </c>
      <c r="U523" s="184">
        <v>0</v>
      </c>
      <c r="V523" s="184">
        <v>1</v>
      </c>
      <c r="W523" s="184">
        <v>0</v>
      </c>
      <c r="X523" s="184">
        <v>0</v>
      </c>
      <c r="Y523" s="184">
        <v>0</v>
      </c>
      <c r="Z523" s="184">
        <v>0</v>
      </c>
      <c r="AA523" s="184">
        <v>0</v>
      </c>
      <c r="AB523" s="184">
        <v>0</v>
      </c>
      <c r="AC523" s="185">
        <v>43.5</v>
      </c>
      <c r="AD523" s="185" t="s">
        <v>24</v>
      </c>
      <c r="AE523" s="184">
        <v>0</v>
      </c>
      <c r="AF523" s="185">
        <v>0</v>
      </c>
      <c r="AG523" s="184">
        <v>0</v>
      </c>
      <c r="AH523" s="185">
        <v>0</v>
      </c>
      <c r="AI523" s="184">
        <v>0</v>
      </c>
      <c r="AJ523" s="643">
        <v>0</v>
      </c>
    </row>
    <row r="524" spans="1:36" x14ac:dyDescent="0.2">
      <c r="A524" s="440" t="s">
        <v>121</v>
      </c>
      <c r="B524" s="642">
        <v>3</v>
      </c>
      <c r="C524" s="184">
        <v>0</v>
      </c>
      <c r="D524" s="184">
        <v>3</v>
      </c>
      <c r="E524" s="184">
        <v>0</v>
      </c>
      <c r="F524" s="184">
        <v>0</v>
      </c>
      <c r="G524" s="184">
        <v>0</v>
      </c>
      <c r="H524" s="184">
        <v>0</v>
      </c>
      <c r="I524" s="184">
        <v>0</v>
      </c>
      <c r="J524" s="184">
        <v>0</v>
      </c>
      <c r="K524" s="184">
        <v>0</v>
      </c>
      <c r="L524" s="184">
        <v>0</v>
      </c>
      <c r="M524" s="654" t="s">
        <v>24</v>
      </c>
      <c r="N524" s="670" t="s">
        <v>121</v>
      </c>
      <c r="O524" s="642">
        <v>0</v>
      </c>
      <c r="P524" s="184">
        <v>0</v>
      </c>
      <c r="Q524" s="184">
        <v>0</v>
      </c>
      <c r="R524" s="184">
        <v>0</v>
      </c>
      <c r="S524" s="184">
        <v>0</v>
      </c>
      <c r="T524" s="184">
        <v>0</v>
      </c>
      <c r="U524" s="184">
        <v>1</v>
      </c>
      <c r="V524" s="184">
        <v>1</v>
      </c>
      <c r="W524" s="184">
        <v>1</v>
      </c>
      <c r="X524" s="184">
        <v>0</v>
      </c>
      <c r="Y524" s="184">
        <v>0</v>
      </c>
      <c r="Z524" s="184">
        <v>0</v>
      </c>
      <c r="AA524" s="184">
        <v>0</v>
      </c>
      <c r="AB524" s="184">
        <v>0</v>
      </c>
      <c r="AC524" s="185">
        <v>42.6</v>
      </c>
      <c r="AD524" s="185" t="s">
        <v>24</v>
      </c>
      <c r="AE524" s="184">
        <v>0</v>
      </c>
      <c r="AF524" s="185">
        <v>0</v>
      </c>
      <c r="AG524" s="184">
        <v>0</v>
      </c>
      <c r="AH524" s="185">
        <v>0</v>
      </c>
      <c r="AI524" s="184">
        <v>0</v>
      </c>
      <c r="AJ524" s="643">
        <v>0</v>
      </c>
    </row>
    <row r="525" spans="1:36" x14ac:dyDescent="0.2">
      <c r="A525" s="440" t="s">
        <v>122</v>
      </c>
      <c r="B525" s="642">
        <v>7</v>
      </c>
      <c r="C525" s="184">
        <v>0</v>
      </c>
      <c r="D525" s="184">
        <v>6</v>
      </c>
      <c r="E525" s="184">
        <v>0</v>
      </c>
      <c r="F525" s="184">
        <v>1</v>
      </c>
      <c r="G525" s="184">
        <v>0</v>
      </c>
      <c r="H525" s="184">
        <v>0</v>
      </c>
      <c r="I525" s="184">
        <v>0</v>
      </c>
      <c r="J525" s="184">
        <v>0</v>
      </c>
      <c r="K525" s="184">
        <v>0</v>
      </c>
      <c r="L525" s="184">
        <v>0</v>
      </c>
      <c r="M525" s="654" t="s">
        <v>24</v>
      </c>
      <c r="N525" s="670" t="s">
        <v>122</v>
      </c>
      <c r="O525" s="642">
        <v>0</v>
      </c>
      <c r="P525" s="184">
        <v>0</v>
      </c>
      <c r="Q525" s="184">
        <v>0</v>
      </c>
      <c r="R525" s="184">
        <v>0</v>
      </c>
      <c r="S525" s="184">
        <v>0</v>
      </c>
      <c r="T525" s="184">
        <v>2</v>
      </c>
      <c r="U525" s="184">
        <v>2</v>
      </c>
      <c r="V525" s="184">
        <v>1</v>
      </c>
      <c r="W525" s="184">
        <v>1</v>
      </c>
      <c r="X525" s="184">
        <v>1</v>
      </c>
      <c r="Y525" s="184">
        <v>0</v>
      </c>
      <c r="Z525" s="184">
        <v>0</v>
      </c>
      <c r="AA525" s="184">
        <v>0</v>
      </c>
      <c r="AB525" s="184">
        <v>0</v>
      </c>
      <c r="AC525" s="185">
        <v>40.6</v>
      </c>
      <c r="AD525" s="185" t="s">
        <v>24</v>
      </c>
      <c r="AE525" s="184">
        <v>0</v>
      </c>
      <c r="AF525" s="185">
        <v>0</v>
      </c>
      <c r="AG525" s="184">
        <v>0</v>
      </c>
      <c r="AH525" s="185">
        <v>0</v>
      </c>
      <c r="AI525" s="184">
        <v>0</v>
      </c>
      <c r="AJ525" s="643">
        <v>0</v>
      </c>
    </row>
    <row r="526" spans="1:36" x14ac:dyDescent="0.2">
      <c r="A526" s="440" t="s">
        <v>123</v>
      </c>
      <c r="B526" s="642">
        <v>3</v>
      </c>
      <c r="C526" s="184">
        <v>0</v>
      </c>
      <c r="D526" s="184">
        <v>3</v>
      </c>
      <c r="E526" s="184">
        <v>0</v>
      </c>
      <c r="F526" s="184">
        <v>0</v>
      </c>
      <c r="G526" s="184">
        <v>0</v>
      </c>
      <c r="H526" s="184">
        <v>0</v>
      </c>
      <c r="I526" s="184">
        <v>0</v>
      </c>
      <c r="J526" s="184">
        <v>0</v>
      </c>
      <c r="K526" s="184">
        <v>0</v>
      </c>
      <c r="L526" s="184">
        <v>0</v>
      </c>
      <c r="M526" s="654" t="s">
        <v>24</v>
      </c>
      <c r="N526" s="670" t="s">
        <v>123</v>
      </c>
      <c r="O526" s="642">
        <v>0</v>
      </c>
      <c r="P526" s="184">
        <v>0</v>
      </c>
      <c r="Q526" s="184">
        <v>0</v>
      </c>
      <c r="R526" s="184">
        <v>0</v>
      </c>
      <c r="S526" s="184">
        <v>0</v>
      </c>
      <c r="T526" s="184">
        <v>1</v>
      </c>
      <c r="U526" s="184">
        <v>1</v>
      </c>
      <c r="V526" s="184">
        <v>0</v>
      </c>
      <c r="W526" s="184">
        <v>1</v>
      </c>
      <c r="X526" s="184">
        <v>0</v>
      </c>
      <c r="Y526" s="184">
        <v>0</v>
      </c>
      <c r="Z526" s="184">
        <v>0</v>
      </c>
      <c r="AA526" s="184">
        <v>0</v>
      </c>
      <c r="AB526" s="184">
        <v>0</v>
      </c>
      <c r="AC526" s="185">
        <v>38.5</v>
      </c>
      <c r="AD526" s="185" t="s">
        <v>24</v>
      </c>
      <c r="AE526" s="184">
        <v>0</v>
      </c>
      <c r="AF526" s="185">
        <v>0</v>
      </c>
      <c r="AG526" s="184">
        <v>0</v>
      </c>
      <c r="AH526" s="185">
        <v>0</v>
      </c>
      <c r="AI526" s="184">
        <v>0</v>
      </c>
      <c r="AJ526" s="643">
        <v>0</v>
      </c>
    </row>
    <row r="527" spans="1:36" x14ac:dyDescent="0.2">
      <c r="A527" s="440" t="s">
        <v>74</v>
      </c>
      <c r="B527" s="642">
        <v>2</v>
      </c>
      <c r="C527" s="184">
        <v>1</v>
      </c>
      <c r="D527" s="184">
        <v>1</v>
      </c>
      <c r="E527" s="184">
        <v>0</v>
      </c>
      <c r="F527" s="184">
        <v>0</v>
      </c>
      <c r="G527" s="184">
        <v>0</v>
      </c>
      <c r="H527" s="184">
        <v>0</v>
      </c>
      <c r="I527" s="184">
        <v>0</v>
      </c>
      <c r="J527" s="184">
        <v>0</v>
      </c>
      <c r="K527" s="184">
        <v>0</v>
      </c>
      <c r="L527" s="184">
        <v>0</v>
      </c>
      <c r="M527" s="654" t="s">
        <v>24</v>
      </c>
      <c r="N527" s="670" t="s">
        <v>74</v>
      </c>
      <c r="O527" s="642">
        <v>0</v>
      </c>
      <c r="P527" s="184">
        <v>1</v>
      </c>
      <c r="Q527" s="184">
        <v>0</v>
      </c>
      <c r="R527" s="184">
        <v>0</v>
      </c>
      <c r="S527" s="184">
        <v>0</v>
      </c>
      <c r="T527" s="184">
        <v>0</v>
      </c>
      <c r="U527" s="184">
        <v>0</v>
      </c>
      <c r="V527" s="184">
        <v>0</v>
      </c>
      <c r="W527" s="184">
        <v>0</v>
      </c>
      <c r="X527" s="184">
        <v>1</v>
      </c>
      <c r="Y527" s="184">
        <v>0</v>
      </c>
      <c r="Z527" s="184">
        <v>0</v>
      </c>
      <c r="AA527" s="184">
        <v>0</v>
      </c>
      <c r="AB527" s="184">
        <v>0</v>
      </c>
      <c r="AC527" s="185">
        <v>32.4</v>
      </c>
      <c r="AD527" s="185" t="s">
        <v>24</v>
      </c>
      <c r="AE527" s="184">
        <v>0</v>
      </c>
      <c r="AF527" s="185">
        <v>0</v>
      </c>
      <c r="AG527" s="184">
        <v>0</v>
      </c>
      <c r="AH527" s="185">
        <v>0</v>
      </c>
      <c r="AI527" s="184">
        <v>0</v>
      </c>
      <c r="AJ527" s="643">
        <v>0</v>
      </c>
    </row>
    <row r="528" spans="1:36" x14ac:dyDescent="0.2">
      <c r="A528" s="440" t="s">
        <v>124</v>
      </c>
      <c r="B528" s="642">
        <v>3</v>
      </c>
      <c r="C528" s="184">
        <v>0</v>
      </c>
      <c r="D528" s="184">
        <v>3</v>
      </c>
      <c r="E528" s="184">
        <v>0</v>
      </c>
      <c r="F528" s="184">
        <v>0</v>
      </c>
      <c r="G528" s="184">
        <v>0</v>
      </c>
      <c r="H528" s="184">
        <v>0</v>
      </c>
      <c r="I528" s="184">
        <v>0</v>
      </c>
      <c r="J528" s="184">
        <v>0</v>
      </c>
      <c r="K528" s="184">
        <v>0</v>
      </c>
      <c r="L528" s="184">
        <v>0</v>
      </c>
      <c r="M528" s="654" t="s">
        <v>24</v>
      </c>
      <c r="N528" s="670" t="s">
        <v>124</v>
      </c>
      <c r="O528" s="642">
        <v>0</v>
      </c>
      <c r="P528" s="184">
        <v>0</v>
      </c>
      <c r="Q528" s="184">
        <v>0</v>
      </c>
      <c r="R528" s="184">
        <v>0</v>
      </c>
      <c r="S528" s="184">
        <v>0</v>
      </c>
      <c r="T528" s="184">
        <v>1</v>
      </c>
      <c r="U528" s="184">
        <v>0</v>
      </c>
      <c r="V528" s="184">
        <v>2</v>
      </c>
      <c r="W528" s="184">
        <v>0</v>
      </c>
      <c r="X528" s="184">
        <v>0</v>
      </c>
      <c r="Y528" s="184">
        <v>0</v>
      </c>
      <c r="Z528" s="184">
        <v>0</v>
      </c>
      <c r="AA528" s="184">
        <v>0</v>
      </c>
      <c r="AB528" s="184">
        <v>0</v>
      </c>
      <c r="AC528" s="185">
        <v>40.6</v>
      </c>
      <c r="AD528" s="185" t="s">
        <v>24</v>
      </c>
      <c r="AE528" s="184">
        <v>0</v>
      </c>
      <c r="AF528" s="185">
        <v>0</v>
      </c>
      <c r="AG528" s="184">
        <v>0</v>
      </c>
      <c r="AH528" s="185">
        <v>0</v>
      </c>
      <c r="AI528" s="184">
        <v>0</v>
      </c>
      <c r="AJ528" s="643">
        <v>0</v>
      </c>
    </row>
    <row r="529" spans="1:36" x14ac:dyDescent="0.2">
      <c r="A529" s="440" t="s">
        <v>125</v>
      </c>
      <c r="B529" s="642">
        <v>6</v>
      </c>
      <c r="C529" s="184">
        <v>1</v>
      </c>
      <c r="D529" s="184">
        <v>4</v>
      </c>
      <c r="E529" s="184">
        <v>0</v>
      </c>
      <c r="F529" s="184">
        <v>1</v>
      </c>
      <c r="G529" s="184">
        <v>0</v>
      </c>
      <c r="H529" s="184">
        <v>0</v>
      </c>
      <c r="I529" s="184">
        <v>0</v>
      </c>
      <c r="J529" s="184">
        <v>0</v>
      </c>
      <c r="K529" s="184">
        <v>0</v>
      </c>
      <c r="L529" s="184">
        <v>0</v>
      </c>
      <c r="M529" s="654" t="s">
        <v>24</v>
      </c>
      <c r="N529" s="670" t="s">
        <v>125</v>
      </c>
      <c r="O529" s="642">
        <v>0</v>
      </c>
      <c r="P529" s="184">
        <v>1</v>
      </c>
      <c r="Q529" s="184">
        <v>0</v>
      </c>
      <c r="R529" s="184">
        <v>0</v>
      </c>
      <c r="S529" s="184">
        <v>0</v>
      </c>
      <c r="T529" s="184">
        <v>2</v>
      </c>
      <c r="U529" s="184">
        <v>1</v>
      </c>
      <c r="V529" s="184">
        <v>1</v>
      </c>
      <c r="W529" s="184">
        <v>0</v>
      </c>
      <c r="X529" s="184">
        <v>1</v>
      </c>
      <c r="Y529" s="184">
        <v>0</v>
      </c>
      <c r="Z529" s="184">
        <v>0</v>
      </c>
      <c r="AA529" s="184">
        <v>0</v>
      </c>
      <c r="AB529" s="184">
        <v>0</v>
      </c>
      <c r="AC529" s="185">
        <v>35.9</v>
      </c>
      <c r="AD529" s="185" t="s">
        <v>24</v>
      </c>
      <c r="AE529" s="184">
        <v>0</v>
      </c>
      <c r="AF529" s="185">
        <v>0</v>
      </c>
      <c r="AG529" s="184">
        <v>0</v>
      </c>
      <c r="AH529" s="185">
        <v>0</v>
      </c>
      <c r="AI529" s="184">
        <v>0</v>
      </c>
      <c r="AJ529" s="643">
        <v>0</v>
      </c>
    </row>
    <row r="530" spans="1:36" x14ac:dyDescent="0.2">
      <c r="A530" s="440" t="s">
        <v>126</v>
      </c>
      <c r="B530" s="642">
        <v>1</v>
      </c>
      <c r="C530" s="184">
        <v>0</v>
      </c>
      <c r="D530" s="184">
        <v>0</v>
      </c>
      <c r="E530" s="184">
        <v>0</v>
      </c>
      <c r="F530" s="184">
        <v>1</v>
      </c>
      <c r="G530" s="184">
        <v>0</v>
      </c>
      <c r="H530" s="184">
        <v>0</v>
      </c>
      <c r="I530" s="184">
        <v>0</v>
      </c>
      <c r="J530" s="184">
        <v>0</v>
      </c>
      <c r="K530" s="184">
        <v>0</v>
      </c>
      <c r="L530" s="184">
        <v>0</v>
      </c>
      <c r="M530" s="654" t="s">
        <v>24</v>
      </c>
      <c r="N530" s="670" t="s">
        <v>126</v>
      </c>
      <c r="O530" s="642">
        <v>0</v>
      </c>
      <c r="P530" s="184">
        <v>0</v>
      </c>
      <c r="Q530" s="184">
        <v>0</v>
      </c>
      <c r="R530" s="184">
        <v>0</v>
      </c>
      <c r="S530" s="184">
        <v>0</v>
      </c>
      <c r="T530" s="184">
        <v>0</v>
      </c>
      <c r="U530" s="184">
        <v>0</v>
      </c>
      <c r="V530" s="184">
        <v>0</v>
      </c>
      <c r="W530" s="184">
        <v>1</v>
      </c>
      <c r="X530" s="184">
        <v>0</v>
      </c>
      <c r="Y530" s="184">
        <v>0</v>
      </c>
      <c r="Z530" s="184">
        <v>0</v>
      </c>
      <c r="AA530" s="184">
        <v>0</v>
      </c>
      <c r="AB530" s="184">
        <v>0</v>
      </c>
      <c r="AC530" s="185">
        <v>49.8</v>
      </c>
      <c r="AD530" s="185" t="s">
        <v>24</v>
      </c>
      <c r="AE530" s="184">
        <v>0</v>
      </c>
      <c r="AF530" s="185">
        <v>0</v>
      </c>
      <c r="AG530" s="184">
        <v>0</v>
      </c>
      <c r="AH530" s="185">
        <v>0</v>
      </c>
      <c r="AI530" s="184">
        <v>0</v>
      </c>
      <c r="AJ530" s="643">
        <v>0</v>
      </c>
    </row>
    <row r="531" spans="1:36" x14ac:dyDescent="0.2">
      <c r="A531" s="440" t="s">
        <v>76</v>
      </c>
      <c r="B531" s="642">
        <v>3</v>
      </c>
      <c r="C531" s="184">
        <v>0</v>
      </c>
      <c r="D531" s="184">
        <v>3</v>
      </c>
      <c r="E531" s="184">
        <v>0</v>
      </c>
      <c r="F531" s="184">
        <v>0</v>
      </c>
      <c r="G531" s="184">
        <v>0</v>
      </c>
      <c r="H531" s="184">
        <v>0</v>
      </c>
      <c r="I531" s="184">
        <v>0</v>
      </c>
      <c r="J531" s="184">
        <v>0</v>
      </c>
      <c r="K531" s="184">
        <v>0</v>
      </c>
      <c r="L531" s="184">
        <v>0</v>
      </c>
      <c r="M531" s="654" t="s">
        <v>24</v>
      </c>
      <c r="N531" s="670" t="s">
        <v>76</v>
      </c>
      <c r="O531" s="642">
        <v>0</v>
      </c>
      <c r="P531" s="184">
        <v>0</v>
      </c>
      <c r="Q531" s="184">
        <v>0</v>
      </c>
      <c r="R531" s="184">
        <v>0</v>
      </c>
      <c r="S531" s="184">
        <v>0</v>
      </c>
      <c r="T531" s="184">
        <v>0</v>
      </c>
      <c r="U531" s="184">
        <v>1</v>
      </c>
      <c r="V531" s="184">
        <v>2</v>
      </c>
      <c r="W531" s="184">
        <v>0</v>
      </c>
      <c r="X531" s="184">
        <v>0</v>
      </c>
      <c r="Y531" s="184">
        <v>0</v>
      </c>
      <c r="Z531" s="184">
        <v>0</v>
      </c>
      <c r="AA531" s="184">
        <v>0</v>
      </c>
      <c r="AB531" s="184">
        <v>0</v>
      </c>
      <c r="AC531" s="185">
        <v>40</v>
      </c>
      <c r="AD531" s="185" t="s">
        <v>24</v>
      </c>
      <c r="AE531" s="184">
        <v>0</v>
      </c>
      <c r="AF531" s="185">
        <v>0</v>
      </c>
      <c r="AG531" s="184">
        <v>0</v>
      </c>
      <c r="AH531" s="185">
        <v>0</v>
      </c>
      <c r="AI531" s="184">
        <v>0</v>
      </c>
      <c r="AJ531" s="643">
        <v>0</v>
      </c>
    </row>
    <row r="532" spans="1:36" x14ac:dyDescent="0.2">
      <c r="A532" s="440" t="s">
        <v>127</v>
      </c>
      <c r="B532" s="642">
        <v>4</v>
      </c>
      <c r="C532" s="184">
        <v>1</v>
      </c>
      <c r="D532" s="184">
        <v>3</v>
      </c>
      <c r="E532" s="184">
        <v>0</v>
      </c>
      <c r="F532" s="184">
        <v>0</v>
      </c>
      <c r="G532" s="184">
        <v>0</v>
      </c>
      <c r="H532" s="184">
        <v>0</v>
      </c>
      <c r="I532" s="184">
        <v>0</v>
      </c>
      <c r="J532" s="184">
        <v>0</v>
      </c>
      <c r="K532" s="184">
        <v>0</v>
      </c>
      <c r="L532" s="184">
        <v>0</v>
      </c>
      <c r="M532" s="654" t="s">
        <v>24</v>
      </c>
      <c r="N532" s="670" t="s">
        <v>127</v>
      </c>
      <c r="O532" s="642">
        <v>1</v>
      </c>
      <c r="P532" s="184">
        <v>0</v>
      </c>
      <c r="Q532" s="184">
        <v>0</v>
      </c>
      <c r="R532" s="184">
        <v>1</v>
      </c>
      <c r="S532" s="184">
        <v>0</v>
      </c>
      <c r="T532" s="184">
        <v>0</v>
      </c>
      <c r="U532" s="184">
        <v>1</v>
      </c>
      <c r="V532" s="184">
        <v>1</v>
      </c>
      <c r="W532" s="184">
        <v>0</v>
      </c>
      <c r="X532" s="184">
        <v>0</v>
      </c>
      <c r="Y532" s="184">
        <v>0</v>
      </c>
      <c r="Z532" s="184">
        <v>0</v>
      </c>
      <c r="AA532" s="184">
        <v>0</v>
      </c>
      <c r="AB532" s="184">
        <v>0</v>
      </c>
      <c r="AC532" s="185">
        <v>27.6</v>
      </c>
      <c r="AD532" s="185" t="s">
        <v>24</v>
      </c>
      <c r="AE532" s="184">
        <v>0</v>
      </c>
      <c r="AF532" s="185">
        <v>0</v>
      </c>
      <c r="AG532" s="184">
        <v>0</v>
      </c>
      <c r="AH532" s="185">
        <v>0</v>
      </c>
      <c r="AI532" s="184">
        <v>0</v>
      </c>
      <c r="AJ532" s="643">
        <v>0</v>
      </c>
    </row>
    <row r="533" spans="1:36" x14ac:dyDescent="0.2">
      <c r="A533" s="440" t="s">
        <v>128</v>
      </c>
      <c r="B533" s="642">
        <v>1</v>
      </c>
      <c r="C533" s="184">
        <v>0</v>
      </c>
      <c r="D533" s="184">
        <v>1</v>
      </c>
      <c r="E533" s="184">
        <v>0</v>
      </c>
      <c r="F533" s="184">
        <v>0</v>
      </c>
      <c r="G533" s="184">
        <v>0</v>
      </c>
      <c r="H533" s="184">
        <v>0</v>
      </c>
      <c r="I533" s="184">
        <v>0</v>
      </c>
      <c r="J533" s="184">
        <v>0</v>
      </c>
      <c r="K533" s="184">
        <v>0</v>
      </c>
      <c r="L533" s="184">
        <v>0</v>
      </c>
      <c r="M533" s="654" t="s">
        <v>24</v>
      </c>
      <c r="N533" s="670" t="s">
        <v>128</v>
      </c>
      <c r="O533" s="642">
        <v>0</v>
      </c>
      <c r="P533" s="184">
        <v>0</v>
      </c>
      <c r="Q533" s="184">
        <v>0</v>
      </c>
      <c r="R533" s="184">
        <v>0</v>
      </c>
      <c r="S533" s="184">
        <v>0</v>
      </c>
      <c r="T533" s="184">
        <v>1</v>
      </c>
      <c r="U533" s="184">
        <v>0</v>
      </c>
      <c r="V533" s="184">
        <v>0</v>
      </c>
      <c r="W533" s="184">
        <v>0</v>
      </c>
      <c r="X533" s="184">
        <v>0</v>
      </c>
      <c r="Y533" s="184">
        <v>0</v>
      </c>
      <c r="Z533" s="184">
        <v>0</v>
      </c>
      <c r="AA533" s="184">
        <v>0</v>
      </c>
      <c r="AB533" s="184">
        <v>0</v>
      </c>
      <c r="AC533" s="185">
        <v>34.799999999999997</v>
      </c>
      <c r="AD533" s="185" t="s">
        <v>24</v>
      </c>
      <c r="AE533" s="184">
        <v>0</v>
      </c>
      <c r="AF533" s="185">
        <v>0</v>
      </c>
      <c r="AG533" s="184">
        <v>0</v>
      </c>
      <c r="AH533" s="185">
        <v>0</v>
      </c>
      <c r="AI533" s="184">
        <v>0</v>
      </c>
      <c r="AJ533" s="643">
        <v>0</v>
      </c>
    </row>
    <row r="534" spans="1:36" x14ac:dyDescent="0.2">
      <c r="A534" s="440" t="s">
        <v>129</v>
      </c>
      <c r="B534" s="642">
        <v>2</v>
      </c>
      <c r="C534" s="184">
        <v>0</v>
      </c>
      <c r="D534" s="184">
        <v>2</v>
      </c>
      <c r="E534" s="184">
        <v>0</v>
      </c>
      <c r="F534" s="184">
        <v>0</v>
      </c>
      <c r="G534" s="184">
        <v>0</v>
      </c>
      <c r="H534" s="184">
        <v>0</v>
      </c>
      <c r="I534" s="184">
        <v>0</v>
      </c>
      <c r="J534" s="184">
        <v>0</v>
      </c>
      <c r="K534" s="184">
        <v>0</v>
      </c>
      <c r="L534" s="184">
        <v>0</v>
      </c>
      <c r="M534" s="654" t="s">
        <v>24</v>
      </c>
      <c r="N534" s="670" t="s">
        <v>129</v>
      </c>
      <c r="O534" s="642">
        <v>0</v>
      </c>
      <c r="P534" s="184">
        <v>0</v>
      </c>
      <c r="Q534" s="184">
        <v>0</v>
      </c>
      <c r="R534" s="184">
        <v>0</v>
      </c>
      <c r="S534" s="184">
        <v>0</v>
      </c>
      <c r="T534" s="184">
        <v>1</v>
      </c>
      <c r="U534" s="184">
        <v>0</v>
      </c>
      <c r="V534" s="184">
        <v>0</v>
      </c>
      <c r="W534" s="184">
        <v>0</v>
      </c>
      <c r="X534" s="184">
        <v>1</v>
      </c>
      <c r="Y534" s="184">
        <v>0</v>
      </c>
      <c r="Z534" s="184">
        <v>0</v>
      </c>
      <c r="AA534" s="184">
        <v>0</v>
      </c>
      <c r="AB534" s="184">
        <v>0</v>
      </c>
      <c r="AC534" s="185">
        <v>42.5</v>
      </c>
      <c r="AD534" s="185" t="s">
        <v>24</v>
      </c>
      <c r="AE534" s="184">
        <v>0</v>
      </c>
      <c r="AF534" s="185">
        <v>0</v>
      </c>
      <c r="AG534" s="184">
        <v>0</v>
      </c>
      <c r="AH534" s="185">
        <v>0</v>
      </c>
      <c r="AI534" s="184">
        <v>0</v>
      </c>
      <c r="AJ534" s="643">
        <v>0</v>
      </c>
    </row>
    <row r="535" spans="1:36" x14ac:dyDescent="0.2">
      <c r="A535" s="440" t="s">
        <v>78</v>
      </c>
      <c r="B535" s="642">
        <v>2</v>
      </c>
      <c r="C535" s="184">
        <v>0</v>
      </c>
      <c r="D535" s="184">
        <v>2</v>
      </c>
      <c r="E535" s="184">
        <v>0</v>
      </c>
      <c r="F535" s="184">
        <v>0</v>
      </c>
      <c r="G535" s="184">
        <v>0</v>
      </c>
      <c r="H535" s="184">
        <v>0</v>
      </c>
      <c r="I535" s="184">
        <v>0</v>
      </c>
      <c r="J535" s="184">
        <v>0</v>
      </c>
      <c r="K535" s="184">
        <v>0</v>
      </c>
      <c r="L535" s="184">
        <v>0</v>
      </c>
      <c r="M535" s="654" t="s">
        <v>24</v>
      </c>
      <c r="N535" s="670" t="s">
        <v>78</v>
      </c>
      <c r="O535" s="642">
        <v>0</v>
      </c>
      <c r="P535" s="184">
        <v>0</v>
      </c>
      <c r="Q535" s="184">
        <v>0</v>
      </c>
      <c r="R535" s="184">
        <v>0</v>
      </c>
      <c r="S535" s="184">
        <v>0</v>
      </c>
      <c r="T535" s="184">
        <v>0</v>
      </c>
      <c r="U535" s="184">
        <v>2</v>
      </c>
      <c r="V535" s="184">
        <v>0</v>
      </c>
      <c r="W535" s="184">
        <v>0</v>
      </c>
      <c r="X535" s="184">
        <v>0</v>
      </c>
      <c r="Y535" s="184">
        <v>0</v>
      </c>
      <c r="Z535" s="184">
        <v>0</v>
      </c>
      <c r="AA535" s="184">
        <v>0</v>
      </c>
      <c r="AB535" s="184">
        <v>0</v>
      </c>
      <c r="AC535" s="185">
        <v>37.700000000000003</v>
      </c>
      <c r="AD535" s="185" t="s">
        <v>24</v>
      </c>
      <c r="AE535" s="184">
        <v>0</v>
      </c>
      <c r="AF535" s="185">
        <v>0</v>
      </c>
      <c r="AG535" s="184">
        <v>0</v>
      </c>
      <c r="AH535" s="185">
        <v>0</v>
      </c>
      <c r="AI535" s="184">
        <v>0</v>
      </c>
      <c r="AJ535" s="643">
        <v>0</v>
      </c>
    </row>
    <row r="536" spans="1:36" x14ac:dyDescent="0.2">
      <c r="A536" s="440" t="s">
        <v>130</v>
      </c>
      <c r="B536" s="642">
        <v>2</v>
      </c>
      <c r="C536" s="184">
        <v>0</v>
      </c>
      <c r="D536" s="184">
        <v>2</v>
      </c>
      <c r="E536" s="184">
        <v>0</v>
      </c>
      <c r="F536" s="184">
        <v>0</v>
      </c>
      <c r="G536" s="184">
        <v>0</v>
      </c>
      <c r="H536" s="184">
        <v>0</v>
      </c>
      <c r="I536" s="184">
        <v>0</v>
      </c>
      <c r="J536" s="184">
        <v>0</v>
      </c>
      <c r="K536" s="184">
        <v>0</v>
      </c>
      <c r="L536" s="184">
        <v>0</v>
      </c>
      <c r="M536" s="654" t="s">
        <v>24</v>
      </c>
      <c r="N536" s="670" t="s">
        <v>130</v>
      </c>
      <c r="O536" s="642">
        <v>0</v>
      </c>
      <c r="P536" s="184">
        <v>0</v>
      </c>
      <c r="Q536" s="184">
        <v>0</v>
      </c>
      <c r="R536" s="184">
        <v>0</v>
      </c>
      <c r="S536" s="184">
        <v>0</v>
      </c>
      <c r="T536" s="184">
        <v>0</v>
      </c>
      <c r="U536" s="184">
        <v>1</v>
      </c>
      <c r="V536" s="184">
        <v>0</v>
      </c>
      <c r="W536" s="184">
        <v>0</v>
      </c>
      <c r="X536" s="184">
        <v>0</v>
      </c>
      <c r="Y536" s="184">
        <v>1</v>
      </c>
      <c r="Z536" s="184">
        <v>0</v>
      </c>
      <c r="AA536" s="184">
        <v>0</v>
      </c>
      <c r="AB536" s="184">
        <v>0</v>
      </c>
      <c r="AC536" s="185">
        <v>49.3</v>
      </c>
      <c r="AD536" s="185" t="s">
        <v>24</v>
      </c>
      <c r="AE536" s="184">
        <v>1</v>
      </c>
      <c r="AF536" s="185">
        <v>50</v>
      </c>
      <c r="AG536" s="184">
        <v>0</v>
      </c>
      <c r="AH536" s="185">
        <v>0</v>
      </c>
      <c r="AI536" s="184">
        <v>0</v>
      </c>
      <c r="AJ536" s="643">
        <v>0</v>
      </c>
    </row>
    <row r="537" spans="1:36" x14ac:dyDescent="0.2">
      <c r="A537" s="440" t="s">
        <v>131</v>
      </c>
      <c r="B537" s="642">
        <v>1</v>
      </c>
      <c r="C537" s="184">
        <v>0</v>
      </c>
      <c r="D537" s="184">
        <v>1</v>
      </c>
      <c r="E537" s="184">
        <v>0</v>
      </c>
      <c r="F537" s="184">
        <v>0</v>
      </c>
      <c r="G537" s="184">
        <v>0</v>
      </c>
      <c r="H537" s="184">
        <v>0</v>
      </c>
      <c r="I537" s="184">
        <v>0</v>
      </c>
      <c r="J537" s="184">
        <v>0</v>
      </c>
      <c r="K537" s="184">
        <v>0</v>
      </c>
      <c r="L537" s="184">
        <v>0</v>
      </c>
      <c r="M537" s="654" t="s">
        <v>24</v>
      </c>
      <c r="N537" s="670" t="s">
        <v>131</v>
      </c>
      <c r="O537" s="642">
        <v>0</v>
      </c>
      <c r="P537" s="184">
        <v>0</v>
      </c>
      <c r="Q537" s="184">
        <v>0</v>
      </c>
      <c r="R537" s="184">
        <v>0</v>
      </c>
      <c r="S537" s="184">
        <v>0</v>
      </c>
      <c r="T537" s="184">
        <v>0</v>
      </c>
      <c r="U537" s="184">
        <v>0</v>
      </c>
      <c r="V537" s="184">
        <v>0</v>
      </c>
      <c r="W537" s="184">
        <v>1</v>
      </c>
      <c r="X537" s="184">
        <v>0</v>
      </c>
      <c r="Y537" s="184">
        <v>0</v>
      </c>
      <c r="Z537" s="184">
        <v>0</v>
      </c>
      <c r="AA537" s="184">
        <v>0</v>
      </c>
      <c r="AB537" s="184">
        <v>0</v>
      </c>
      <c r="AC537" s="185">
        <v>46.2</v>
      </c>
      <c r="AD537" s="185" t="s">
        <v>24</v>
      </c>
      <c r="AE537" s="184">
        <v>0</v>
      </c>
      <c r="AF537" s="185">
        <v>0</v>
      </c>
      <c r="AG537" s="184">
        <v>0</v>
      </c>
      <c r="AH537" s="185">
        <v>0</v>
      </c>
      <c r="AI537" s="184">
        <v>0</v>
      </c>
      <c r="AJ537" s="643">
        <v>0</v>
      </c>
    </row>
    <row r="538" spans="1:36" x14ac:dyDescent="0.2">
      <c r="A538" s="440" t="s">
        <v>132</v>
      </c>
      <c r="B538" s="648">
        <v>1</v>
      </c>
      <c r="C538" s="649">
        <v>0</v>
      </c>
      <c r="D538" s="649">
        <v>1</v>
      </c>
      <c r="E538" s="649">
        <v>0</v>
      </c>
      <c r="F538" s="649">
        <v>0</v>
      </c>
      <c r="G538" s="649">
        <v>0</v>
      </c>
      <c r="H538" s="649">
        <v>0</v>
      </c>
      <c r="I538" s="649">
        <v>0</v>
      </c>
      <c r="J538" s="649">
        <v>0</v>
      </c>
      <c r="K538" s="649">
        <v>0</v>
      </c>
      <c r="L538" s="649">
        <v>0</v>
      </c>
      <c r="M538" s="657" t="s">
        <v>24</v>
      </c>
      <c r="N538" s="670" t="s">
        <v>132</v>
      </c>
      <c r="O538" s="648">
        <v>0</v>
      </c>
      <c r="P538" s="649">
        <v>0</v>
      </c>
      <c r="Q538" s="649">
        <v>0</v>
      </c>
      <c r="R538" s="649">
        <v>0</v>
      </c>
      <c r="S538" s="649">
        <v>0</v>
      </c>
      <c r="T538" s="649">
        <v>0</v>
      </c>
      <c r="U538" s="649">
        <v>0</v>
      </c>
      <c r="V538" s="649">
        <v>1</v>
      </c>
      <c r="W538" s="649">
        <v>0</v>
      </c>
      <c r="X538" s="649">
        <v>0</v>
      </c>
      <c r="Y538" s="649">
        <v>0</v>
      </c>
      <c r="Z538" s="649">
        <v>0</v>
      </c>
      <c r="AA538" s="649">
        <v>0</v>
      </c>
      <c r="AB538" s="649">
        <v>0</v>
      </c>
      <c r="AC538" s="650">
        <v>41.1</v>
      </c>
      <c r="AD538" s="650" t="s">
        <v>24</v>
      </c>
      <c r="AE538" s="649">
        <v>0</v>
      </c>
      <c r="AF538" s="650">
        <v>0</v>
      </c>
      <c r="AG538" s="649">
        <v>0</v>
      </c>
      <c r="AH538" s="650">
        <v>0</v>
      </c>
      <c r="AI538" s="649">
        <v>0</v>
      </c>
      <c r="AJ538" s="651">
        <v>0</v>
      </c>
    </row>
    <row r="539" spans="1:36" x14ac:dyDescent="0.2">
      <c r="A539" s="440" t="s">
        <v>133</v>
      </c>
      <c r="B539" s="598">
        <v>436</v>
      </c>
      <c r="C539" s="599">
        <v>23</v>
      </c>
      <c r="D539" s="599">
        <v>391</v>
      </c>
      <c r="E539" s="599">
        <v>4</v>
      </c>
      <c r="F539" s="599">
        <v>14</v>
      </c>
      <c r="G539" s="599">
        <v>0</v>
      </c>
      <c r="H539" s="599">
        <v>3</v>
      </c>
      <c r="I539" s="599">
        <v>1</v>
      </c>
      <c r="J539" s="599">
        <v>0</v>
      </c>
      <c r="K539" s="599">
        <v>0</v>
      </c>
      <c r="L539" s="599">
        <v>0</v>
      </c>
      <c r="M539" s="599" t="s">
        <v>24</v>
      </c>
      <c r="N539" s="587" t="s">
        <v>133</v>
      </c>
      <c r="O539" s="599">
        <v>2</v>
      </c>
      <c r="P539" s="599">
        <v>12</v>
      </c>
      <c r="Q539" s="599">
        <v>15</v>
      </c>
      <c r="R539" s="599">
        <v>2</v>
      </c>
      <c r="S539" s="599">
        <v>12</v>
      </c>
      <c r="T539" s="599">
        <v>64</v>
      </c>
      <c r="U539" s="599">
        <v>132</v>
      </c>
      <c r="V539" s="599">
        <v>118</v>
      </c>
      <c r="W539" s="599">
        <v>47</v>
      </c>
      <c r="X539" s="599">
        <v>29</v>
      </c>
      <c r="Y539" s="599">
        <v>3</v>
      </c>
      <c r="Z539" s="599">
        <v>0</v>
      </c>
      <c r="AA539" s="599">
        <v>0</v>
      </c>
      <c r="AB539" s="599">
        <v>0</v>
      </c>
      <c r="AC539" s="611">
        <v>38.533333333333324</v>
      </c>
      <c r="AD539" s="611">
        <v>47.128571428571426</v>
      </c>
      <c r="AE539" s="599">
        <v>3</v>
      </c>
      <c r="AF539" s="611">
        <v>0.58697089947089942</v>
      </c>
      <c r="AG539" s="599">
        <v>0</v>
      </c>
      <c r="AH539" s="611">
        <v>0</v>
      </c>
      <c r="AI539" s="599">
        <v>0</v>
      </c>
      <c r="AJ539" s="612">
        <v>0</v>
      </c>
    </row>
    <row r="540" spans="1:36" x14ac:dyDescent="0.2">
      <c r="A540" s="440" t="s">
        <v>134</v>
      </c>
      <c r="B540" s="601">
        <v>495</v>
      </c>
      <c r="C540" s="441">
        <v>25</v>
      </c>
      <c r="D540" s="441">
        <v>444</v>
      </c>
      <c r="E540" s="441">
        <v>4</v>
      </c>
      <c r="F540" s="441">
        <v>18</v>
      </c>
      <c r="G540" s="441">
        <v>0</v>
      </c>
      <c r="H540" s="441">
        <v>3</v>
      </c>
      <c r="I540" s="441">
        <v>1</v>
      </c>
      <c r="J540" s="441">
        <v>0</v>
      </c>
      <c r="K540" s="441">
        <v>0</v>
      </c>
      <c r="L540" s="441">
        <v>0</v>
      </c>
      <c r="M540" s="441" t="s">
        <v>24</v>
      </c>
      <c r="N540" s="588" t="s">
        <v>134</v>
      </c>
      <c r="O540" s="441">
        <v>2</v>
      </c>
      <c r="P540" s="441">
        <v>14</v>
      </c>
      <c r="Q540" s="441">
        <v>15</v>
      </c>
      <c r="R540" s="441">
        <v>3</v>
      </c>
      <c r="S540" s="441">
        <v>14</v>
      </c>
      <c r="T540" s="441">
        <v>73</v>
      </c>
      <c r="U540" s="441">
        <v>146</v>
      </c>
      <c r="V540" s="441">
        <v>135</v>
      </c>
      <c r="W540" s="441">
        <v>54</v>
      </c>
      <c r="X540" s="441">
        <v>36</v>
      </c>
      <c r="Y540" s="441">
        <v>3</v>
      </c>
      <c r="Z540" s="441">
        <v>0</v>
      </c>
      <c r="AA540" s="441">
        <v>0</v>
      </c>
      <c r="AB540" s="441">
        <v>0</v>
      </c>
      <c r="AC540" s="442">
        <v>38.93492063492063</v>
      </c>
      <c r="AD540" s="442">
        <v>47.128571428571426</v>
      </c>
      <c r="AE540" s="441">
        <v>3</v>
      </c>
      <c r="AF540" s="442">
        <v>0.44022817460317454</v>
      </c>
      <c r="AG540" s="441">
        <v>0</v>
      </c>
      <c r="AH540" s="442">
        <v>0</v>
      </c>
      <c r="AI540" s="441">
        <v>0</v>
      </c>
      <c r="AJ540" s="613">
        <v>0</v>
      </c>
    </row>
    <row r="541" spans="1:36" x14ac:dyDescent="0.2">
      <c r="A541" s="440" t="s">
        <v>135</v>
      </c>
      <c r="B541" s="601">
        <v>511</v>
      </c>
      <c r="C541" s="441">
        <v>26</v>
      </c>
      <c r="D541" s="441">
        <v>459</v>
      </c>
      <c r="E541" s="441">
        <v>4</v>
      </c>
      <c r="F541" s="441">
        <v>18</v>
      </c>
      <c r="G541" s="441">
        <v>0</v>
      </c>
      <c r="H541" s="441">
        <v>3</v>
      </c>
      <c r="I541" s="441">
        <v>1</v>
      </c>
      <c r="J541" s="441">
        <v>0</v>
      </c>
      <c r="K541" s="441">
        <v>0</v>
      </c>
      <c r="L541" s="441">
        <v>0</v>
      </c>
      <c r="M541" s="441" t="s">
        <v>24</v>
      </c>
      <c r="N541" s="588" t="s">
        <v>135</v>
      </c>
      <c r="O541" s="441">
        <v>3</v>
      </c>
      <c r="P541" s="441">
        <v>14</v>
      </c>
      <c r="Q541" s="441">
        <v>15</v>
      </c>
      <c r="R541" s="441">
        <v>4</v>
      </c>
      <c r="S541" s="441">
        <v>14</v>
      </c>
      <c r="T541" s="441">
        <v>75</v>
      </c>
      <c r="U541" s="441">
        <v>151</v>
      </c>
      <c r="V541" s="441">
        <v>139</v>
      </c>
      <c r="W541" s="441">
        <v>55</v>
      </c>
      <c r="X541" s="441">
        <v>37</v>
      </c>
      <c r="Y541" s="441">
        <v>4</v>
      </c>
      <c r="Z541" s="441">
        <v>0</v>
      </c>
      <c r="AA541" s="441">
        <v>0</v>
      </c>
      <c r="AB541" s="441">
        <v>0</v>
      </c>
      <c r="AC541" s="442">
        <v>39.043661971830979</v>
      </c>
      <c r="AD541" s="442">
        <v>47.128571428571426</v>
      </c>
      <c r="AE541" s="441">
        <v>4</v>
      </c>
      <c r="AF541" s="442">
        <v>1.0857583774250439</v>
      </c>
      <c r="AG541" s="441">
        <v>0</v>
      </c>
      <c r="AH541" s="442">
        <v>0</v>
      </c>
      <c r="AI541" s="441">
        <v>0</v>
      </c>
      <c r="AJ541" s="613">
        <v>0</v>
      </c>
    </row>
    <row r="542" spans="1:36" x14ac:dyDescent="0.2">
      <c r="A542" s="440" t="s">
        <v>136</v>
      </c>
      <c r="B542" s="603">
        <v>523</v>
      </c>
      <c r="C542" s="604">
        <v>26</v>
      </c>
      <c r="D542" s="604">
        <v>471</v>
      </c>
      <c r="E542" s="604">
        <v>4</v>
      </c>
      <c r="F542" s="604">
        <v>18</v>
      </c>
      <c r="G542" s="604">
        <v>0</v>
      </c>
      <c r="H542" s="604">
        <v>3</v>
      </c>
      <c r="I542" s="604">
        <v>1</v>
      </c>
      <c r="J542" s="604">
        <v>0</v>
      </c>
      <c r="K542" s="604">
        <v>0</v>
      </c>
      <c r="L542" s="604">
        <v>0</v>
      </c>
      <c r="M542" s="604" t="s">
        <v>24</v>
      </c>
      <c r="N542" s="589" t="s">
        <v>136</v>
      </c>
      <c r="O542" s="604">
        <v>3</v>
      </c>
      <c r="P542" s="604">
        <v>14</v>
      </c>
      <c r="Q542" s="604">
        <v>15</v>
      </c>
      <c r="R542" s="604">
        <v>4</v>
      </c>
      <c r="S542" s="604">
        <v>14</v>
      </c>
      <c r="T542" s="604">
        <v>76</v>
      </c>
      <c r="U542" s="604">
        <v>154</v>
      </c>
      <c r="V542" s="604">
        <v>144</v>
      </c>
      <c r="W542" s="604">
        <v>57</v>
      </c>
      <c r="X542" s="604">
        <v>38</v>
      </c>
      <c r="Y542" s="604">
        <v>4</v>
      </c>
      <c r="Z542" s="604">
        <v>0</v>
      </c>
      <c r="AA542" s="604">
        <v>0</v>
      </c>
      <c r="AB542" s="604">
        <v>0</v>
      </c>
      <c r="AC542" s="614">
        <v>39.281481481481471</v>
      </c>
      <c r="AD542" s="614">
        <v>47.128571428571426</v>
      </c>
      <c r="AE542" s="604">
        <v>4</v>
      </c>
      <c r="AF542" s="614">
        <v>0.81431878306878291</v>
      </c>
      <c r="AG542" s="604">
        <v>0</v>
      </c>
      <c r="AH542" s="614">
        <v>0</v>
      </c>
      <c r="AI542" s="604">
        <v>0</v>
      </c>
      <c r="AJ542" s="615">
        <v>0</v>
      </c>
    </row>
    <row r="543" spans="1:36" x14ac:dyDescent="0.2">
      <c r="A543" s="440"/>
      <c r="B543" s="660"/>
      <c r="C543" s="661"/>
      <c r="D543" s="661"/>
      <c r="E543" s="661"/>
      <c r="F543" s="661"/>
      <c r="G543" s="661"/>
      <c r="H543" s="661"/>
      <c r="I543" s="661"/>
      <c r="J543" s="661"/>
      <c r="K543" s="661"/>
      <c r="L543" s="661"/>
      <c r="M543" s="661"/>
      <c r="N543" s="662"/>
      <c r="O543" s="661"/>
      <c r="P543" s="661"/>
      <c r="Q543" s="661"/>
      <c r="R543" s="661"/>
      <c r="S543" s="661"/>
      <c r="T543" s="661"/>
      <c r="U543" s="661"/>
      <c r="V543" s="661"/>
      <c r="W543" s="661"/>
      <c r="X543" s="661"/>
      <c r="Y543" s="661"/>
      <c r="Z543" s="661"/>
      <c r="AA543" s="661"/>
      <c r="AB543" s="661"/>
      <c r="AC543" s="663"/>
      <c r="AD543" s="663"/>
      <c r="AE543" s="661"/>
      <c r="AF543" s="663"/>
      <c r="AG543" s="661"/>
      <c r="AH543" s="663"/>
      <c r="AI543" s="661"/>
      <c r="AJ543" s="663"/>
    </row>
    <row r="544" spans="1:36" x14ac:dyDescent="0.2">
      <c r="A544" s="440"/>
      <c r="B544" s="664"/>
      <c r="C544" s="169"/>
      <c r="D544" s="169"/>
      <c r="E544" s="169"/>
      <c r="F544" s="169"/>
      <c r="G544" s="169"/>
      <c r="H544" s="169"/>
      <c r="I544" s="169"/>
      <c r="J544" s="169"/>
      <c r="K544" s="169"/>
      <c r="L544" s="169"/>
      <c r="M544" s="169"/>
      <c r="N544" s="178"/>
      <c r="O544" s="169"/>
      <c r="P544" s="169"/>
      <c r="Q544" s="169"/>
      <c r="R544" s="169"/>
      <c r="S544" s="169"/>
      <c r="T544" s="169"/>
      <c r="U544" s="169"/>
      <c r="V544" s="169"/>
      <c r="W544" s="169"/>
      <c r="X544" s="169"/>
      <c r="Y544" s="169"/>
      <c r="Z544" s="169"/>
      <c r="AA544" s="169"/>
      <c r="AB544" s="169"/>
      <c r="AC544" s="177"/>
      <c r="AD544" s="177"/>
      <c r="AE544" s="169"/>
      <c r="AF544" s="177"/>
      <c r="AG544" s="169"/>
      <c r="AH544" s="177"/>
      <c r="AI544" s="169"/>
      <c r="AJ544" s="177"/>
    </row>
    <row r="545" spans="1:36" x14ac:dyDescent="0.2">
      <c r="A545" s="659">
        <f>A438+1</f>
        <v>43268</v>
      </c>
      <c r="B545" s="664"/>
      <c r="C545" s="169"/>
      <c r="D545" s="169"/>
      <c r="E545" s="169"/>
      <c r="F545" s="169"/>
      <c r="G545" s="169"/>
      <c r="H545" s="169"/>
      <c r="I545" s="169"/>
      <c r="J545" s="169"/>
      <c r="K545" s="169"/>
      <c r="L545" s="169"/>
      <c r="M545" s="169"/>
      <c r="N545" s="178"/>
      <c r="O545" s="169"/>
      <c r="P545" s="169"/>
      <c r="Q545" s="169"/>
      <c r="R545" s="169"/>
      <c r="S545" s="169"/>
      <c r="T545" s="169"/>
      <c r="U545" s="169"/>
      <c r="V545" s="169"/>
      <c r="W545" s="169"/>
      <c r="X545" s="169"/>
      <c r="Y545" s="169"/>
      <c r="Z545" s="169"/>
      <c r="AA545" s="169"/>
      <c r="AB545" s="169"/>
      <c r="AC545" s="177"/>
      <c r="AD545" s="177"/>
      <c r="AE545" s="169"/>
      <c r="AF545" s="177"/>
      <c r="AG545" s="169"/>
      <c r="AH545" s="177"/>
      <c r="AI545" s="169"/>
      <c r="AJ545" s="177"/>
    </row>
    <row r="546" spans="1:36" x14ac:dyDescent="0.2">
      <c r="A546" s="440"/>
      <c r="B546" s="665"/>
      <c r="C546" s="666"/>
      <c r="D546" s="666"/>
      <c r="E546" s="666"/>
      <c r="F546" s="666"/>
      <c r="G546" s="666"/>
      <c r="H546" s="666"/>
      <c r="I546" s="666"/>
      <c r="J546" s="666"/>
      <c r="K546" s="666"/>
      <c r="L546" s="666"/>
      <c r="M546" s="666"/>
      <c r="N546" s="667"/>
      <c r="O546" s="666"/>
      <c r="P546" s="666"/>
      <c r="Q546" s="666"/>
      <c r="R546" s="666"/>
      <c r="S546" s="666"/>
      <c r="T546" s="666"/>
      <c r="U546" s="666"/>
      <c r="V546" s="666"/>
      <c r="W546" s="666"/>
      <c r="X546" s="666"/>
      <c r="Y546" s="666"/>
      <c r="Z546" s="666"/>
      <c r="AA546" s="666"/>
      <c r="AB546" s="666"/>
      <c r="AC546" s="668"/>
      <c r="AD546" s="668"/>
      <c r="AE546" s="666"/>
      <c r="AF546" s="668"/>
      <c r="AG546" s="666"/>
      <c r="AH546" s="668"/>
      <c r="AI546" s="666"/>
      <c r="AJ546" s="668"/>
    </row>
    <row r="547" spans="1:36" x14ac:dyDescent="0.2">
      <c r="A547" s="566" t="s">
        <v>255</v>
      </c>
      <c r="B547" s="576" t="s">
        <v>0</v>
      </c>
      <c r="C547" s="577" t="s">
        <v>442</v>
      </c>
      <c r="D547" s="577" t="s">
        <v>215</v>
      </c>
      <c r="E547" s="577" t="s">
        <v>443</v>
      </c>
      <c r="F547" s="577" t="s">
        <v>444</v>
      </c>
      <c r="G547" s="577" t="s">
        <v>445</v>
      </c>
      <c r="H547" s="577" t="s">
        <v>446</v>
      </c>
      <c r="I547" s="577" t="s">
        <v>447</v>
      </c>
      <c r="J547" s="577" t="s">
        <v>448</v>
      </c>
      <c r="K547" s="577" t="s">
        <v>449</v>
      </c>
      <c r="L547" s="577" t="s">
        <v>450</v>
      </c>
      <c r="M547" s="577"/>
      <c r="N547" s="587" t="s">
        <v>11</v>
      </c>
      <c r="O547" s="577" t="s">
        <v>268</v>
      </c>
      <c r="P547" s="577" t="s">
        <v>269</v>
      </c>
      <c r="Q547" s="577" t="s">
        <v>270</v>
      </c>
      <c r="R547" s="577" t="s">
        <v>271</v>
      </c>
      <c r="S547" s="577" t="s">
        <v>272</v>
      </c>
      <c r="T547" s="577" t="s">
        <v>273</v>
      </c>
      <c r="U547" s="577" t="s">
        <v>274</v>
      </c>
      <c r="V547" s="577" t="s">
        <v>275</v>
      </c>
      <c r="W547" s="577" t="s">
        <v>276</v>
      </c>
      <c r="X547" s="577" t="s">
        <v>277</v>
      </c>
      <c r="Y547" s="577" t="s">
        <v>278</v>
      </c>
      <c r="Z547" s="577" t="s">
        <v>279</v>
      </c>
      <c r="AA547" s="577" t="s">
        <v>280</v>
      </c>
      <c r="AB547" s="577" t="s">
        <v>281</v>
      </c>
      <c r="AC547" s="629" t="s">
        <v>258</v>
      </c>
      <c r="AD547" s="629" t="s">
        <v>13</v>
      </c>
      <c r="AE547" s="577" t="s">
        <v>166</v>
      </c>
      <c r="AF547" s="629" t="s">
        <v>259</v>
      </c>
      <c r="AG547" s="630" t="s">
        <v>260</v>
      </c>
      <c r="AH547" s="631" t="s">
        <v>261</v>
      </c>
      <c r="AI547" s="630" t="s">
        <v>262</v>
      </c>
      <c r="AJ547" s="632" t="s">
        <v>263</v>
      </c>
    </row>
    <row r="548" spans="1:36" x14ac:dyDescent="0.2">
      <c r="A548" s="440" t="s">
        <v>24</v>
      </c>
      <c r="B548" s="579" t="s">
        <v>24</v>
      </c>
      <c r="C548" s="443" t="s">
        <v>25</v>
      </c>
      <c r="D548" s="443" t="s">
        <v>26</v>
      </c>
      <c r="E548" s="443" t="s">
        <v>27</v>
      </c>
      <c r="F548" s="443" t="s">
        <v>28</v>
      </c>
      <c r="G548" s="443" t="s">
        <v>29</v>
      </c>
      <c r="H548" s="443" t="s">
        <v>30</v>
      </c>
      <c r="I548" s="443" t="s">
        <v>31</v>
      </c>
      <c r="J548" s="443" t="s">
        <v>32</v>
      </c>
      <c r="K548" s="443" t="s">
        <v>33</v>
      </c>
      <c r="L548" s="443" t="s">
        <v>34</v>
      </c>
      <c r="M548" s="443" t="s">
        <v>24</v>
      </c>
      <c r="N548" s="588" t="s">
        <v>24</v>
      </c>
      <c r="O548" s="443" t="s">
        <v>451</v>
      </c>
      <c r="P548" s="443" t="s">
        <v>34</v>
      </c>
      <c r="Q548" s="443" t="s">
        <v>452</v>
      </c>
      <c r="R548" s="443" t="s">
        <v>453</v>
      </c>
      <c r="S548" s="443" t="s">
        <v>454</v>
      </c>
      <c r="T548" s="443" t="s">
        <v>455</v>
      </c>
      <c r="U548" s="443" t="s">
        <v>456</v>
      </c>
      <c r="V548" s="443" t="s">
        <v>457</v>
      </c>
      <c r="W548" s="443" t="s">
        <v>458</v>
      </c>
      <c r="X548" s="443" t="s">
        <v>459</v>
      </c>
      <c r="Y548" s="443" t="s">
        <v>460</v>
      </c>
      <c r="Z548" s="443" t="s">
        <v>461</v>
      </c>
      <c r="AA548" s="443" t="s">
        <v>462</v>
      </c>
      <c r="AB548" s="443" t="s">
        <v>463</v>
      </c>
      <c r="AC548" s="444"/>
      <c r="AD548" s="444">
        <v>0</v>
      </c>
      <c r="AE548" s="443">
        <v>60</v>
      </c>
      <c r="AF548" s="443">
        <v>60</v>
      </c>
      <c r="AG548" s="445">
        <v>65</v>
      </c>
      <c r="AH548" s="445">
        <v>65</v>
      </c>
      <c r="AI548" s="445">
        <v>75</v>
      </c>
      <c r="AJ548" s="633">
        <v>75</v>
      </c>
    </row>
    <row r="549" spans="1:36" ht="13.5" thickBot="1" x14ac:dyDescent="0.25">
      <c r="A549" s="440" t="s">
        <v>24</v>
      </c>
      <c r="B549" s="579" t="s">
        <v>24</v>
      </c>
      <c r="C549" s="582" t="s">
        <v>24</v>
      </c>
      <c r="D549" s="582" t="s">
        <v>24</v>
      </c>
      <c r="E549" s="582" t="s">
        <v>24</v>
      </c>
      <c r="F549" s="582" t="s">
        <v>24</v>
      </c>
      <c r="G549" s="582" t="s">
        <v>24</v>
      </c>
      <c r="H549" s="582" t="s">
        <v>24</v>
      </c>
      <c r="I549" s="582" t="s">
        <v>24</v>
      </c>
      <c r="J549" s="582" t="s">
        <v>24</v>
      </c>
      <c r="K549" s="582" t="s">
        <v>24</v>
      </c>
      <c r="L549" s="582" t="s">
        <v>24</v>
      </c>
      <c r="M549" s="582" t="s">
        <v>24</v>
      </c>
      <c r="N549" s="589" t="s">
        <v>24</v>
      </c>
      <c r="O549" s="582" t="s">
        <v>34</v>
      </c>
      <c r="P549" s="582" t="s">
        <v>452</v>
      </c>
      <c r="Q549" s="582" t="s">
        <v>453</v>
      </c>
      <c r="R549" s="582" t="s">
        <v>454</v>
      </c>
      <c r="S549" s="582" t="s">
        <v>455</v>
      </c>
      <c r="T549" s="582" t="s">
        <v>456</v>
      </c>
      <c r="U549" s="582" t="s">
        <v>457</v>
      </c>
      <c r="V549" s="582" t="s">
        <v>458</v>
      </c>
      <c r="W549" s="582" t="s">
        <v>459</v>
      </c>
      <c r="X549" s="582" t="s">
        <v>460</v>
      </c>
      <c r="Y549" s="582" t="s">
        <v>461</v>
      </c>
      <c r="Z549" s="582" t="s">
        <v>462</v>
      </c>
      <c r="AA549" s="582" t="s">
        <v>463</v>
      </c>
      <c r="AB549" s="582" t="s">
        <v>464</v>
      </c>
      <c r="AC549" s="634"/>
      <c r="AD549" s="634"/>
      <c r="AE549" s="582"/>
      <c r="AF549" s="634"/>
      <c r="AG549" s="635" t="s">
        <v>35</v>
      </c>
      <c r="AH549" s="636" t="s">
        <v>35</v>
      </c>
      <c r="AI549" s="635" t="s">
        <v>36</v>
      </c>
      <c r="AJ549" s="637" t="s">
        <v>36</v>
      </c>
    </row>
    <row r="550" spans="1:36" ht="13.5" thickBot="1" x14ac:dyDescent="0.25">
      <c r="A550" s="440" t="s">
        <v>37</v>
      </c>
      <c r="B550" s="691">
        <v>1</v>
      </c>
      <c r="C550" s="567">
        <v>0</v>
      </c>
      <c r="D550" s="186">
        <v>1</v>
      </c>
      <c r="E550" s="186">
        <v>0</v>
      </c>
      <c r="F550" s="186">
        <v>0</v>
      </c>
      <c r="G550" s="186">
        <v>0</v>
      </c>
      <c r="H550" s="186">
        <v>0</v>
      </c>
      <c r="I550" s="186">
        <v>0</v>
      </c>
      <c r="J550" s="186">
        <v>0</v>
      </c>
      <c r="K550" s="186">
        <v>0</v>
      </c>
      <c r="L550" s="186">
        <v>0</v>
      </c>
      <c r="M550" s="656" t="s">
        <v>24</v>
      </c>
      <c r="N550" s="670" t="s">
        <v>37</v>
      </c>
      <c r="O550" s="646">
        <v>0</v>
      </c>
      <c r="P550" s="186">
        <v>0</v>
      </c>
      <c r="Q550" s="186">
        <v>0</v>
      </c>
      <c r="R550" s="186">
        <v>0</v>
      </c>
      <c r="S550" s="186">
        <v>0</v>
      </c>
      <c r="T550" s="186">
        <v>0</v>
      </c>
      <c r="U550" s="186">
        <v>0</v>
      </c>
      <c r="V550" s="186">
        <v>0</v>
      </c>
      <c r="W550" s="186">
        <v>0</v>
      </c>
      <c r="X550" s="186">
        <v>1</v>
      </c>
      <c r="Y550" s="186">
        <v>0</v>
      </c>
      <c r="Z550" s="186">
        <v>0</v>
      </c>
      <c r="AA550" s="186">
        <v>0</v>
      </c>
      <c r="AB550" s="186">
        <v>0</v>
      </c>
      <c r="AC550" s="187">
        <v>51.9</v>
      </c>
      <c r="AD550" s="187" t="s">
        <v>24</v>
      </c>
      <c r="AE550" s="186">
        <v>0</v>
      </c>
      <c r="AF550" s="187">
        <v>0</v>
      </c>
      <c r="AG550" s="186">
        <v>0</v>
      </c>
      <c r="AH550" s="187">
        <v>0</v>
      </c>
      <c r="AI550" s="186">
        <v>0</v>
      </c>
      <c r="AJ550" s="647">
        <v>0</v>
      </c>
    </row>
    <row r="551" spans="1:36" x14ac:dyDescent="0.2">
      <c r="A551" s="440" t="s">
        <v>38</v>
      </c>
      <c r="B551" s="646">
        <v>1</v>
      </c>
      <c r="C551" s="184">
        <v>0</v>
      </c>
      <c r="D551" s="184">
        <v>1</v>
      </c>
      <c r="E551" s="184">
        <v>0</v>
      </c>
      <c r="F551" s="184">
        <v>0</v>
      </c>
      <c r="G551" s="184">
        <v>0</v>
      </c>
      <c r="H551" s="184">
        <v>0</v>
      </c>
      <c r="I551" s="184">
        <v>0</v>
      </c>
      <c r="J551" s="184">
        <v>0</v>
      </c>
      <c r="K551" s="184">
        <v>0</v>
      </c>
      <c r="L551" s="184">
        <v>0</v>
      </c>
      <c r="M551" s="654" t="s">
        <v>24</v>
      </c>
      <c r="N551" s="670" t="s">
        <v>38</v>
      </c>
      <c r="O551" s="642">
        <v>0</v>
      </c>
      <c r="P551" s="184">
        <v>0</v>
      </c>
      <c r="Q551" s="184">
        <v>0</v>
      </c>
      <c r="R551" s="184">
        <v>0</v>
      </c>
      <c r="S551" s="184">
        <v>0</v>
      </c>
      <c r="T551" s="184">
        <v>0</v>
      </c>
      <c r="U551" s="184">
        <v>0</v>
      </c>
      <c r="V551" s="184">
        <v>0</v>
      </c>
      <c r="W551" s="184">
        <v>1</v>
      </c>
      <c r="X551" s="184">
        <v>0</v>
      </c>
      <c r="Y551" s="184">
        <v>0</v>
      </c>
      <c r="Z551" s="184">
        <v>0</v>
      </c>
      <c r="AA551" s="184">
        <v>0</v>
      </c>
      <c r="AB551" s="184">
        <v>0</v>
      </c>
      <c r="AC551" s="185">
        <v>47.9</v>
      </c>
      <c r="AD551" s="185" t="s">
        <v>24</v>
      </c>
      <c r="AE551" s="184">
        <v>0</v>
      </c>
      <c r="AF551" s="185">
        <v>0</v>
      </c>
      <c r="AG551" s="184">
        <v>0</v>
      </c>
      <c r="AH551" s="185">
        <v>0</v>
      </c>
      <c r="AI551" s="184">
        <v>0</v>
      </c>
      <c r="AJ551" s="643">
        <v>0</v>
      </c>
    </row>
    <row r="552" spans="1:36" x14ac:dyDescent="0.2">
      <c r="A552" s="440" t="s">
        <v>40</v>
      </c>
      <c r="B552" s="642">
        <v>2</v>
      </c>
      <c r="C552" s="184">
        <v>0</v>
      </c>
      <c r="D552" s="184">
        <v>2</v>
      </c>
      <c r="E552" s="184">
        <v>0</v>
      </c>
      <c r="F552" s="184">
        <v>0</v>
      </c>
      <c r="G552" s="184">
        <v>0</v>
      </c>
      <c r="H552" s="184">
        <v>0</v>
      </c>
      <c r="I552" s="184">
        <v>0</v>
      </c>
      <c r="J552" s="184">
        <v>0</v>
      </c>
      <c r="K552" s="184">
        <v>0</v>
      </c>
      <c r="L552" s="184">
        <v>0</v>
      </c>
      <c r="M552" s="654" t="s">
        <v>24</v>
      </c>
      <c r="N552" s="670" t="s">
        <v>40</v>
      </c>
      <c r="O552" s="642">
        <v>0</v>
      </c>
      <c r="P552" s="184">
        <v>0</v>
      </c>
      <c r="Q552" s="184">
        <v>0</v>
      </c>
      <c r="R552" s="184">
        <v>0</v>
      </c>
      <c r="S552" s="184">
        <v>0</v>
      </c>
      <c r="T552" s="184">
        <v>1</v>
      </c>
      <c r="U552" s="184">
        <v>0</v>
      </c>
      <c r="V552" s="184">
        <v>0</v>
      </c>
      <c r="W552" s="184">
        <v>0</v>
      </c>
      <c r="X552" s="184">
        <v>1</v>
      </c>
      <c r="Y552" s="184">
        <v>0</v>
      </c>
      <c r="Z552" s="184">
        <v>0</v>
      </c>
      <c r="AA552" s="184">
        <v>0</v>
      </c>
      <c r="AB552" s="184">
        <v>0</v>
      </c>
      <c r="AC552" s="185">
        <v>43.3</v>
      </c>
      <c r="AD552" s="185" t="s">
        <v>24</v>
      </c>
      <c r="AE552" s="184">
        <v>0</v>
      </c>
      <c r="AF552" s="185">
        <v>0</v>
      </c>
      <c r="AG552" s="184">
        <v>0</v>
      </c>
      <c r="AH552" s="185">
        <v>0</v>
      </c>
      <c r="AI552" s="184">
        <v>0</v>
      </c>
      <c r="AJ552" s="643">
        <v>0</v>
      </c>
    </row>
    <row r="553" spans="1:36" x14ac:dyDescent="0.2">
      <c r="A553" s="440" t="s">
        <v>42</v>
      </c>
      <c r="B553" s="642">
        <v>0</v>
      </c>
      <c r="C553" s="184">
        <v>0</v>
      </c>
      <c r="D553" s="184">
        <v>0</v>
      </c>
      <c r="E553" s="184">
        <v>0</v>
      </c>
      <c r="F553" s="184">
        <v>0</v>
      </c>
      <c r="G553" s="184">
        <v>0</v>
      </c>
      <c r="H553" s="184">
        <v>0</v>
      </c>
      <c r="I553" s="184">
        <v>0</v>
      </c>
      <c r="J553" s="184">
        <v>0</v>
      </c>
      <c r="K553" s="184">
        <v>0</v>
      </c>
      <c r="L553" s="184">
        <v>0</v>
      </c>
      <c r="M553" s="654" t="s">
        <v>24</v>
      </c>
      <c r="N553" s="670" t="s">
        <v>42</v>
      </c>
      <c r="O553" s="642">
        <v>0</v>
      </c>
      <c r="P553" s="184">
        <v>0</v>
      </c>
      <c r="Q553" s="184">
        <v>0</v>
      </c>
      <c r="R553" s="184">
        <v>0</v>
      </c>
      <c r="S553" s="184">
        <v>0</v>
      </c>
      <c r="T553" s="184">
        <v>0</v>
      </c>
      <c r="U553" s="184">
        <v>0</v>
      </c>
      <c r="V553" s="184">
        <v>0</v>
      </c>
      <c r="W553" s="184">
        <v>0</v>
      </c>
      <c r="X553" s="184">
        <v>0</v>
      </c>
      <c r="Y553" s="184">
        <v>0</v>
      </c>
      <c r="Z553" s="184">
        <v>0</v>
      </c>
      <c r="AA553" s="184">
        <v>0</v>
      </c>
      <c r="AB553" s="184">
        <v>0</v>
      </c>
      <c r="AC553" s="185" t="s">
        <v>24</v>
      </c>
      <c r="AD553" s="185" t="s">
        <v>24</v>
      </c>
      <c r="AE553" s="184">
        <v>0</v>
      </c>
      <c r="AF553" s="185">
        <v>0</v>
      </c>
      <c r="AG553" s="184">
        <v>0</v>
      </c>
      <c r="AH553" s="185">
        <v>0</v>
      </c>
      <c r="AI553" s="184">
        <v>0</v>
      </c>
      <c r="AJ553" s="643">
        <v>0</v>
      </c>
    </row>
    <row r="554" spans="1:36" x14ac:dyDescent="0.2">
      <c r="A554" s="440" t="s">
        <v>39</v>
      </c>
      <c r="B554" s="642">
        <v>0</v>
      </c>
      <c r="C554" s="184">
        <v>0</v>
      </c>
      <c r="D554" s="184">
        <v>0</v>
      </c>
      <c r="E554" s="184">
        <v>0</v>
      </c>
      <c r="F554" s="184">
        <v>0</v>
      </c>
      <c r="G554" s="184">
        <v>0</v>
      </c>
      <c r="H554" s="184">
        <v>0</v>
      </c>
      <c r="I554" s="184">
        <v>0</v>
      </c>
      <c r="J554" s="184">
        <v>0</v>
      </c>
      <c r="K554" s="184">
        <v>0</v>
      </c>
      <c r="L554" s="184">
        <v>0</v>
      </c>
      <c r="M554" s="654" t="s">
        <v>24</v>
      </c>
      <c r="N554" s="670" t="s">
        <v>39</v>
      </c>
      <c r="O554" s="642">
        <v>0</v>
      </c>
      <c r="P554" s="184">
        <v>0</v>
      </c>
      <c r="Q554" s="184">
        <v>0</v>
      </c>
      <c r="R554" s="184">
        <v>0</v>
      </c>
      <c r="S554" s="184">
        <v>0</v>
      </c>
      <c r="T554" s="184">
        <v>0</v>
      </c>
      <c r="U554" s="184">
        <v>0</v>
      </c>
      <c r="V554" s="184">
        <v>0</v>
      </c>
      <c r="W554" s="184">
        <v>0</v>
      </c>
      <c r="X554" s="184">
        <v>0</v>
      </c>
      <c r="Y554" s="184">
        <v>0</v>
      </c>
      <c r="Z554" s="184">
        <v>0</v>
      </c>
      <c r="AA554" s="184">
        <v>0</v>
      </c>
      <c r="AB554" s="184">
        <v>0</v>
      </c>
      <c r="AC554" s="185" t="s">
        <v>24</v>
      </c>
      <c r="AD554" s="185" t="s">
        <v>24</v>
      </c>
      <c r="AE554" s="184">
        <v>0</v>
      </c>
      <c r="AF554" s="185">
        <v>0</v>
      </c>
      <c r="AG554" s="184">
        <v>0</v>
      </c>
      <c r="AH554" s="185">
        <v>0</v>
      </c>
      <c r="AI554" s="184">
        <v>0</v>
      </c>
      <c r="AJ554" s="643">
        <v>0</v>
      </c>
    </row>
    <row r="555" spans="1:36" x14ac:dyDescent="0.2">
      <c r="A555" s="440" t="s">
        <v>45</v>
      </c>
      <c r="B555" s="642">
        <v>1</v>
      </c>
      <c r="C555" s="184">
        <v>0</v>
      </c>
      <c r="D555" s="184">
        <v>1</v>
      </c>
      <c r="E555" s="184">
        <v>0</v>
      </c>
      <c r="F555" s="184">
        <v>0</v>
      </c>
      <c r="G555" s="184">
        <v>0</v>
      </c>
      <c r="H555" s="184">
        <v>0</v>
      </c>
      <c r="I555" s="184">
        <v>0</v>
      </c>
      <c r="J555" s="184">
        <v>0</v>
      </c>
      <c r="K555" s="184">
        <v>0</v>
      </c>
      <c r="L555" s="184">
        <v>0</v>
      </c>
      <c r="M555" s="654" t="s">
        <v>24</v>
      </c>
      <c r="N555" s="670" t="s">
        <v>45</v>
      </c>
      <c r="O555" s="642">
        <v>0</v>
      </c>
      <c r="P555" s="184">
        <v>0</v>
      </c>
      <c r="Q555" s="184">
        <v>0</v>
      </c>
      <c r="R555" s="184">
        <v>0</v>
      </c>
      <c r="S555" s="184">
        <v>0</v>
      </c>
      <c r="T555" s="184">
        <v>0</v>
      </c>
      <c r="U555" s="184">
        <v>0</v>
      </c>
      <c r="V555" s="184">
        <v>1</v>
      </c>
      <c r="W555" s="184">
        <v>0</v>
      </c>
      <c r="X555" s="184">
        <v>0</v>
      </c>
      <c r="Y555" s="184">
        <v>0</v>
      </c>
      <c r="Z555" s="184">
        <v>0</v>
      </c>
      <c r="AA555" s="184">
        <v>0</v>
      </c>
      <c r="AB555" s="184">
        <v>0</v>
      </c>
      <c r="AC555" s="185">
        <v>40.1</v>
      </c>
      <c r="AD555" s="185" t="s">
        <v>24</v>
      </c>
      <c r="AE555" s="184">
        <v>0</v>
      </c>
      <c r="AF555" s="185">
        <v>0</v>
      </c>
      <c r="AG555" s="184">
        <v>0</v>
      </c>
      <c r="AH555" s="185">
        <v>0</v>
      </c>
      <c r="AI555" s="184">
        <v>0</v>
      </c>
      <c r="AJ555" s="643">
        <v>0</v>
      </c>
    </row>
    <row r="556" spans="1:36" x14ac:dyDescent="0.2">
      <c r="A556" s="440" t="s">
        <v>47</v>
      </c>
      <c r="B556" s="642">
        <v>0</v>
      </c>
      <c r="C556" s="184">
        <v>0</v>
      </c>
      <c r="D556" s="184">
        <v>0</v>
      </c>
      <c r="E556" s="184">
        <v>0</v>
      </c>
      <c r="F556" s="184">
        <v>0</v>
      </c>
      <c r="G556" s="184">
        <v>0</v>
      </c>
      <c r="H556" s="184">
        <v>0</v>
      </c>
      <c r="I556" s="184">
        <v>0</v>
      </c>
      <c r="J556" s="184">
        <v>0</v>
      </c>
      <c r="K556" s="184">
        <v>0</v>
      </c>
      <c r="L556" s="184">
        <v>0</v>
      </c>
      <c r="M556" s="654" t="s">
        <v>24</v>
      </c>
      <c r="N556" s="670" t="s">
        <v>47</v>
      </c>
      <c r="O556" s="642">
        <v>0</v>
      </c>
      <c r="P556" s="184">
        <v>0</v>
      </c>
      <c r="Q556" s="184">
        <v>0</v>
      </c>
      <c r="R556" s="184">
        <v>0</v>
      </c>
      <c r="S556" s="184">
        <v>0</v>
      </c>
      <c r="T556" s="184">
        <v>0</v>
      </c>
      <c r="U556" s="184">
        <v>0</v>
      </c>
      <c r="V556" s="184">
        <v>0</v>
      </c>
      <c r="W556" s="184">
        <v>0</v>
      </c>
      <c r="X556" s="184">
        <v>0</v>
      </c>
      <c r="Y556" s="184">
        <v>0</v>
      </c>
      <c r="Z556" s="184">
        <v>0</v>
      </c>
      <c r="AA556" s="184">
        <v>0</v>
      </c>
      <c r="AB556" s="184">
        <v>0</v>
      </c>
      <c r="AC556" s="185" t="s">
        <v>24</v>
      </c>
      <c r="AD556" s="185" t="s">
        <v>24</v>
      </c>
      <c r="AE556" s="184">
        <v>0</v>
      </c>
      <c r="AF556" s="185">
        <v>0</v>
      </c>
      <c r="AG556" s="184">
        <v>0</v>
      </c>
      <c r="AH556" s="185">
        <v>0</v>
      </c>
      <c r="AI556" s="184">
        <v>0</v>
      </c>
      <c r="AJ556" s="643">
        <v>0</v>
      </c>
    </row>
    <row r="557" spans="1:36" x14ac:dyDescent="0.2">
      <c r="A557" s="440" t="s">
        <v>49</v>
      </c>
      <c r="B557" s="642">
        <v>0</v>
      </c>
      <c r="C557" s="184">
        <v>0</v>
      </c>
      <c r="D557" s="184">
        <v>0</v>
      </c>
      <c r="E557" s="184">
        <v>0</v>
      </c>
      <c r="F557" s="184">
        <v>0</v>
      </c>
      <c r="G557" s="184">
        <v>0</v>
      </c>
      <c r="H557" s="184">
        <v>0</v>
      </c>
      <c r="I557" s="184">
        <v>0</v>
      </c>
      <c r="J557" s="184">
        <v>0</v>
      </c>
      <c r="K557" s="184">
        <v>0</v>
      </c>
      <c r="L557" s="184">
        <v>0</v>
      </c>
      <c r="M557" s="654" t="s">
        <v>24</v>
      </c>
      <c r="N557" s="670" t="s">
        <v>49</v>
      </c>
      <c r="O557" s="642">
        <v>0</v>
      </c>
      <c r="P557" s="184">
        <v>0</v>
      </c>
      <c r="Q557" s="184">
        <v>0</v>
      </c>
      <c r="R557" s="184">
        <v>0</v>
      </c>
      <c r="S557" s="184">
        <v>0</v>
      </c>
      <c r="T557" s="184">
        <v>0</v>
      </c>
      <c r="U557" s="184">
        <v>0</v>
      </c>
      <c r="V557" s="184">
        <v>0</v>
      </c>
      <c r="W557" s="184">
        <v>0</v>
      </c>
      <c r="X557" s="184">
        <v>0</v>
      </c>
      <c r="Y557" s="184">
        <v>0</v>
      </c>
      <c r="Z557" s="184">
        <v>0</v>
      </c>
      <c r="AA557" s="184">
        <v>0</v>
      </c>
      <c r="AB557" s="184">
        <v>0</v>
      </c>
      <c r="AC557" s="185" t="s">
        <v>24</v>
      </c>
      <c r="AD557" s="185" t="s">
        <v>24</v>
      </c>
      <c r="AE557" s="184">
        <v>0</v>
      </c>
      <c r="AF557" s="185">
        <v>0</v>
      </c>
      <c r="AG557" s="184">
        <v>0</v>
      </c>
      <c r="AH557" s="185">
        <v>0</v>
      </c>
      <c r="AI557" s="184">
        <v>0</v>
      </c>
      <c r="AJ557" s="643">
        <v>0</v>
      </c>
    </row>
    <row r="558" spans="1:36" x14ac:dyDescent="0.2">
      <c r="A558" s="440" t="s">
        <v>41</v>
      </c>
      <c r="B558" s="642">
        <v>1</v>
      </c>
      <c r="C558" s="184">
        <v>0</v>
      </c>
      <c r="D558" s="184">
        <v>1</v>
      </c>
      <c r="E558" s="184">
        <v>0</v>
      </c>
      <c r="F558" s="184">
        <v>0</v>
      </c>
      <c r="G558" s="184">
        <v>0</v>
      </c>
      <c r="H558" s="184">
        <v>0</v>
      </c>
      <c r="I558" s="184">
        <v>0</v>
      </c>
      <c r="J558" s="184">
        <v>0</v>
      </c>
      <c r="K558" s="184">
        <v>0</v>
      </c>
      <c r="L558" s="184">
        <v>0</v>
      </c>
      <c r="M558" s="654" t="s">
        <v>24</v>
      </c>
      <c r="N558" s="670" t="s">
        <v>41</v>
      </c>
      <c r="O558" s="642">
        <v>1</v>
      </c>
      <c r="P558" s="184">
        <v>0</v>
      </c>
      <c r="Q558" s="184">
        <v>0</v>
      </c>
      <c r="R558" s="184">
        <v>0</v>
      </c>
      <c r="S558" s="184">
        <v>0</v>
      </c>
      <c r="T558" s="184">
        <v>0</v>
      </c>
      <c r="U558" s="184">
        <v>0</v>
      </c>
      <c r="V558" s="184">
        <v>0</v>
      </c>
      <c r="W558" s="184">
        <v>0</v>
      </c>
      <c r="X558" s="184">
        <v>0</v>
      </c>
      <c r="Y558" s="184">
        <v>0</v>
      </c>
      <c r="Z558" s="184">
        <v>0</v>
      </c>
      <c r="AA558" s="184">
        <v>0</v>
      </c>
      <c r="AB558" s="184">
        <v>0</v>
      </c>
      <c r="AC558" s="185">
        <v>8.9</v>
      </c>
      <c r="AD558" s="185" t="s">
        <v>24</v>
      </c>
      <c r="AE558" s="184">
        <v>0</v>
      </c>
      <c r="AF558" s="185">
        <v>0</v>
      </c>
      <c r="AG558" s="184">
        <v>0</v>
      </c>
      <c r="AH558" s="185">
        <v>0</v>
      </c>
      <c r="AI558" s="184">
        <v>0</v>
      </c>
      <c r="AJ558" s="643">
        <v>0</v>
      </c>
    </row>
    <row r="559" spans="1:36" x14ac:dyDescent="0.2">
      <c r="A559" s="440" t="s">
        <v>52</v>
      </c>
      <c r="B559" s="642">
        <v>2</v>
      </c>
      <c r="C559" s="184">
        <v>0</v>
      </c>
      <c r="D559" s="184">
        <v>2</v>
      </c>
      <c r="E559" s="184">
        <v>0</v>
      </c>
      <c r="F559" s="184">
        <v>0</v>
      </c>
      <c r="G559" s="184">
        <v>0</v>
      </c>
      <c r="H559" s="184">
        <v>0</v>
      </c>
      <c r="I559" s="184">
        <v>0</v>
      </c>
      <c r="J559" s="184">
        <v>0</v>
      </c>
      <c r="K559" s="184">
        <v>0</v>
      </c>
      <c r="L559" s="184">
        <v>0</v>
      </c>
      <c r="M559" s="654" t="s">
        <v>24</v>
      </c>
      <c r="N559" s="670" t="s">
        <v>52</v>
      </c>
      <c r="O559" s="642">
        <v>0</v>
      </c>
      <c r="P559" s="184">
        <v>0</v>
      </c>
      <c r="Q559" s="184">
        <v>0</v>
      </c>
      <c r="R559" s="184">
        <v>0</v>
      </c>
      <c r="S559" s="184">
        <v>1</v>
      </c>
      <c r="T559" s="184">
        <v>1</v>
      </c>
      <c r="U559" s="184">
        <v>0</v>
      </c>
      <c r="V559" s="184">
        <v>0</v>
      </c>
      <c r="W559" s="184">
        <v>0</v>
      </c>
      <c r="X559" s="184">
        <v>0</v>
      </c>
      <c r="Y559" s="184">
        <v>0</v>
      </c>
      <c r="Z559" s="184">
        <v>0</v>
      </c>
      <c r="AA559" s="184">
        <v>0</v>
      </c>
      <c r="AB559" s="184">
        <v>0</v>
      </c>
      <c r="AC559" s="185">
        <v>28.6</v>
      </c>
      <c r="AD559" s="185" t="s">
        <v>24</v>
      </c>
      <c r="AE559" s="184">
        <v>0</v>
      </c>
      <c r="AF559" s="185">
        <v>0</v>
      </c>
      <c r="AG559" s="184">
        <v>0</v>
      </c>
      <c r="AH559" s="185">
        <v>0</v>
      </c>
      <c r="AI559" s="184">
        <v>0</v>
      </c>
      <c r="AJ559" s="643">
        <v>0</v>
      </c>
    </row>
    <row r="560" spans="1:36" x14ac:dyDescent="0.2">
      <c r="A560" s="440" t="s">
        <v>54</v>
      </c>
      <c r="B560" s="642">
        <v>0</v>
      </c>
      <c r="C560" s="184">
        <v>0</v>
      </c>
      <c r="D560" s="184">
        <v>0</v>
      </c>
      <c r="E560" s="184">
        <v>0</v>
      </c>
      <c r="F560" s="184">
        <v>0</v>
      </c>
      <c r="G560" s="184">
        <v>0</v>
      </c>
      <c r="H560" s="184">
        <v>0</v>
      </c>
      <c r="I560" s="184">
        <v>0</v>
      </c>
      <c r="J560" s="184">
        <v>0</v>
      </c>
      <c r="K560" s="184">
        <v>0</v>
      </c>
      <c r="L560" s="184">
        <v>0</v>
      </c>
      <c r="M560" s="654" t="s">
        <v>24</v>
      </c>
      <c r="N560" s="670" t="s">
        <v>54</v>
      </c>
      <c r="O560" s="642">
        <v>0</v>
      </c>
      <c r="P560" s="184">
        <v>0</v>
      </c>
      <c r="Q560" s="184">
        <v>0</v>
      </c>
      <c r="R560" s="184">
        <v>0</v>
      </c>
      <c r="S560" s="184">
        <v>0</v>
      </c>
      <c r="T560" s="184">
        <v>0</v>
      </c>
      <c r="U560" s="184">
        <v>0</v>
      </c>
      <c r="V560" s="184">
        <v>0</v>
      </c>
      <c r="W560" s="184">
        <v>0</v>
      </c>
      <c r="X560" s="184">
        <v>0</v>
      </c>
      <c r="Y560" s="184">
        <v>0</v>
      </c>
      <c r="Z560" s="184">
        <v>0</v>
      </c>
      <c r="AA560" s="184">
        <v>0</v>
      </c>
      <c r="AB560" s="184">
        <v>0</v>
      </c>
      <c r="AC560" s="185" t="s">
        <v>24</v>
      </c>
      <c r="AD560" s="185" t="s">
        <v>24</v>
      </c>
      <c r="AE560" s="184">
        <v>0</v>
      </c>
      <c r="AF560" s="185">
        <v>0</v>
      </c>
      <c r="AG560" s="184">
        <v>0</v>
      </c>
      <c r="AH560" s="185">
        <v>0</v>
      </c>
      <c r="AI560" s="184">
        <v>0</v>
      </c>
      <c r="AJ560" s="643">
        <v>0</v>
      </c>
    </row>
    <row r="561" spans="1:36" x14ac:dyDescent="0.2">
      <c r="A561" s="440" t="s">
        <v>56</v>
      </c>
      <c r="B561" s="642">
        <v>0</v>
      </c>
      <c r="C561" s="184">
        <v>0</v>
      </c>
      <c r="D561" s="184">
        <v>0</v>
      </c>
      <c r="E561" s="184">
        <v>0</v>
      </c>
      <c r="F561" s="184">
        <v>0</v>
      </c>
      <c r="G561" s="184">
        <v>0</v>
      </c>
      <c r="H561" s="184">
        <v>0</v>
      </c>
      <c r="I561" s="184">
        <v>0</v>
      </c>
      <c r="J561" s="184">
        <v>0</v>
      </c>
      <c r="K561" s="184">
        <v>0</v>
      </c>
      <c r="L561" s="184">
        <v>0</v>
      </c>
      <c r="M561" s="654" t="s">
        <v>24</v>
      </c>
      <c r="N561" s="670" t="s">
        <v>56</v>
      </c>
      <c r="O561" s="642">
        <v>0</v>
      </c>
      <c r="P561" s="184">
        <v>0</v>
      </c>
      <c r="Q561" s="184">
        <v>0</v>
      </c>
      <c r="R561" s="184">
        <v>0</v>
      </c>
      <c r="S561" s="184">
        <v>0</v>
      </c>
      <c r="T561" s="184">
        <v>0</v>
      </c>
      <c r="U561" s="184">
        <v>0</v>
      </c>
      <c r="V561" s="184">
        <v>0</v>
      </c>
      <c r="W561" s="184">
        <v>0</v>
      </c>
      <c r="X561" s="184">
        <v>0</v>
      </c>
      <c r="Y561" s="184">
        <v>0</v>
      </c>
      <c r="Z561" s="184">
        <v>0</v>
      </c>
      <c r="AA561" s="184">
        <v>0</v>
      </c>
      <c r="AB561" s="184">
        <v>0</v>
      </c>
      <c r="AC561" s="185" t="s">
        <v>24</v>
      </c>
      <c r="AD561" s="185" t="s">
        <v>24</v>
      </c>
      <c r="AE561" s="184">
        <v>0</v>
      </c>
      <c r="AF561" s="185">
        <v>0</v>
      </c>
      <c r="AG561" s="184">
        <v>0</v>
      </c>
      <c r="AH561" s="185">
        <v>0</v>
      </c>
      <c r="AI561" s="184">
        <v>0</v>
      </c>
      <c r="AJ561" s="643">
        <v>0</v>
      </c>
    </row>
    <row r="562" spans="1:36" x14ac:dyDescent="0.2">
      <c r="A562" s="440" t="s">
        <v>43</v>
      </c>
      <c r="B562" s="642">
        <v>0</v>
      </c>
      <c r="C562" s="184">
        <v>0</v>
      </c>
      <c r="D562" s="184">
        <v>0</v>
      </c>
      <c r="E562" s="184">
        <v>0</v>
      </c>
      <c r="F562" s="184">
        <v>0</v>
      </c>
      <c r="G562" s="184">
        <v>0</v>
      </c>
      <c r="H562" s="184">
        <v>0</v>
      </c>
      <c r="I562" s="184">
        <v>0</v>
      </c>
      <c r="J562" s="184">
        <v>0</v>
      </c>
      <c r="K562" s="184">
        <v>0</v>
      </c>
      <c r="L562" s="184">
        <v>0</v>
      </c>
      <c r="M562" s="654" t="s">
        <v>24</v>
      </c>
      <c r="N562" s="670" t="s">
        <v>43</v>
      </c>
      <c r="O562" s="642">
        <v>0</v>
      </c>
      <c r="P562" s="184">
        <v>0</v>
      </c>
      <c r="Q562" s="184">
        <v>0</v>
      </c>
      <c r="R562" s="184">
        <v>0</v>
      </c>
      <c r="S562" s="184">
        <v>0</v>
      </c>
      <c r="T562" s="184">
        <v>0</v>
      </c>
      <c r="U562" s="184">
        <v>0</v>
      </c>
      <c r="V562" s="184">
        <v>0</v>
      </c>
      <c r="W562" s="184">
        <v>0</v>
      </c>
      <c r="X562" s="184">
        <v>0</v>
      </c>
      <c r="Y562" s="184">
        <v>0</v>
      </c>
      <c r="Z562" s="184">
        <v>0</v>
      </c>
      <c r="AA562" s="184">
        <v>0</v>
      </c>
      <c r="AB562" s="184">
        <v>0</v>
      </c>
      <c r="AC562" s="185" t="s">
        <v>24</v>
      </c>
      <c r="AD562" s="185" t="s">
        <v>24</v>
      </c>
      <c r="AE562" s="184">
        <v>0</v>
      </c>
      <c r="AF562" s="185">
        <v>0</v>
      </c>
      <c r="AG562" s="184">
        <v>0</v>
      </c>
      <c r="AH562" s="185">
        <v>0</v>
      </c>
      <c r="AI562" s="184">
        <v>0</v>
      </c>
      <c r="AJ562" s="643">
        <v>0</v>
      </c>
    </row>
    <row r="563" spans="1:36" x14ac:dyDescent="0.2">
      <c r="A563" s="440" t="s">
        <v>59</v>
      </c>
      <c r="B563" s="642">
        <v>0</v>
      </c>
      <c r="C563" s="184">
        <v>0</v>
      </c>
      <c r="D563" s="184">
        <v>0</v>
      </c>
      <c r="E563" s="184">
        <v>0</v>
      </c>
      <c r="F563" s="184">
        <v>0</v>
      </c>
      <c r="G563" s="184">
        <v>0</v>
      </c>
      <c r="H563" s="184">
        <v>0</v>
      </c>
      <c r="I563" s="184">
        <v>0</v>
      </c>
      <c r="J563" s="184">
        <v>0</v>
      </c>
      <c r="K563" s="184">
        <v>0</v>
      </c>
      <c r="L563" s="184">
        <v>0</v>
      </c>
      <c r="M563" s="654" t="s">
        <v>24</v>
      </c>
      <c r="N563" s="670" t="s">
        <v>59</v>
      </c>
      <c r="O563" s="642">
        <v>0</v>
      </c>
      <c r="P563" s="184">
        <v>0</v>
      </c>
      <c r="Q563" s="184">
        <v>0</v>
      </c>
      <c r="R563" s="184">
        <v>0</v>
      </c>
      <c r="S563" s="184">
        <v>0</v>
      </c>
      <c r="T563" s="184">
        <v>0</v>
      </c>
      <c r="U563" s="184">
        <v>0</v>
      </c>
      <c r="V563" s="184">
        <v>0</v>
      </c>
      <c r="W563" s="184">
        <v>0</v>
      </c>
      <c r="X563" s="184">
        <v>0</v>
      </c>
      <c r="Y563" s="184">
        <v>0</v>
      </c>
      <c r="Z563" s="184">
        <v>0</v>
      </c>
      <c r="AA563" s="184">
        <v>0</v>
      </c>
      <c r="AB563" s="184">
        <v>0</v>
      </c>
      <c r="AC563" s="185" t="s">
        <v>24</v>
      </c>
      <c r="AD563" s="185" t="s">
        <v>24</v>
      </c>
      <c r="AE563" s="184">
        <v>0</v>
      </c>
      <c r="AF563" s="185">
        <v>0</v>
      </c>
      <c r="AG563" s="184">
        <v>0</v>
      </c>
      <c r="AH563" s="185">
        <v>0</v>
      </c>
      <c r="AI563" s="184">
        <v>0</v>
      </c>
      <c r="AJ563" s="643">
        <v>0</v>
      </c>
    </row>
    <row r="564" spans="1:36" x14ac:dyDescent="0.2">
      <c r="A564" s="440" t="s">
        <v>61</v>
      </c>
      <c r="B564" s="642">
        <v>0</v>
      </c>
      <c r="C564" s="184">
        <v>0</v>
      </c>
      <c r="D564" s="184">
        <v>0</v>
      </c>
      <c r="E564" s="184">
        <v>0</v>
      </c>
      <c r="F564" s="184">
        <v>0</v>
      </c>
      <c r="G564" s="184">
        <v>0</v>
      </c>
      <c r="H564" s="184">
        <v>0</v>
      </c>
      <c r="I564" s="184">
        <v>0</v>
      </c>
      <c r="J564" s="184">
        <v>0</v>
      </c>
      <c r="K564" s="184">
        <v>0</v>
      </c>
      <c r="L564" s="184">
        <v>0</v>
      </c>
      <c r="M564" s="654" t="s">
        <v>24</v>
      </c>
      <c r="N564" s="670" t="s">
        <v>61</v>
      </c>
      <c r="O564" s="642">
        <v>0</v>
      </c>
      <c r="P564" s="184">
        <v>0</v>
      </c>
      <c r="Q564" s="184">
        <v>0</v>
      </c>
      <c r="R564" s="184">
        <v>0</v>
      </c>
      <c r="S564" s="184">
        <v>0</v>
      </c>
      <c r="T564" s="184">
        <v>0</v>
      </c>
      <c r="U564" s="184">
        <v>0</v>
      </c>
      <c r="V564" s="184">
        <v>0</v>
      </c>
      <c r="W564" s="184">
        <v>0</v>
      </c>
      <c r="X564" s="184">
        <v>0</v>
      </c>
      <c r="Y564" s="184">
        <v>0</v>
      </c>
      <c r="Z564" s="184">
        <v>0</v>
      </c>
      <c r="AA564" s="184">
        <v>0</v>
      </c>
      <c r="AB564" s="184">
        <v>0</v>
      </c>
      <c r="AC564" s="185" t="s">
        <v>24</v>
      </c>
      <c r="AD564" s="185" t="s">
        <v>24</v>
      </c>
      <c r="AE564" s="184">
        <v>0</v>
      </c>
      <c r="AF564" s="185">
        <v>0</v>
      </c>
      <c r="AG564" s="184">
        <v>0</v>
      </c>
      <c r="AH564" s="185">
        <v>0</v>
      </c>
      <c r="AI564" s="184">
        <v>0</v>
      </c>
      <c r="AJ564" s="643">
        <v>0</v>
      </c>
    </row>
    <row r="565" spans="1:36" x14ac:dyDescent="0.2">
      <c r="A565" s="440" t="s">
        <v>63</v>
      </c>
      <c r="B565" s="642">
        <v>0</v>
      </c>
      <c r="C565" s="184">
        <v>0</v>
      </c>
      <c r="D565" s="184">
        <v>0</v>
      </c>
      <c r="E565" s="184">
        <v>0</v>
      </c>
      <c r="F565" s="184">
        <v>0</v>
      </c>
      <c r="G565" s="184">
        <v>0</v>
      </c>
      <c r="H565" s="184">
        <v>0</v>
      </c>
      <c r="I565" s="184">
        <v>0</v>
      </c>
      <c r="J565" s="184">
        <v>0</v>
      </c>
      <c r="K565" s="184">
        <v>0</v>
      </c>
      <c r="L565" s="184">
        <v>0</v>
      </c>
      <c r="M565" s="654" t="s">
        <v>24</v>
      </c>
      <c r="N565" s="670" t="s">
        <v>63</v>
      </c>
      <c r="O565" s="642">
        <v>0</v>
      </c>
      <c r="P565" s="184">
        <v>0</v>
      </c>
      <c r="Q565" s="184">
        <v>0</v>
      </c>
      <c r="R565" s="184">
        <v>0</v>
      </c>
      <c r="S565" s="184">
        <v>0</v>
      </c>
      <c r="T565" s="184">
        <v>0</v>
      </c>
      <c r="U565" s="184">
        <v>0</v>
      </c>
      <c r="V565" s="184">
        <v>0</v>
      </c>
      <c r="W565" s="184">
        <v>0</v>
      </c>
      <c r="X565" s="184">
        <v>0</v>
      </c>
      <c r="Y565" s="184">
        <v>0</v>
      </c>
      <c r="Z565" s="184">
        <v>0</v>
      </c>
      <c r="AA565" s="184">
        <v>0</v>
      </c>
      <c r="AB565" s="184">
        <v>0</v>
      </c>
      <c r="AC565" s="185" t="s">
        <v>24</v>
      </c>
      <c r="AD565" s="185" t="s">
        <v>24</v>
      </c>
      <c r="AE565" s="184">
        <v>0</v>
      </c>
      <c r="AF565" s="185">
        <v>0</v>
      </c>
      <c r="AG565" s="184">
        <v>0</v>
      </c>
      <c r="AH565" s="185">
        <v>0</v>
      </c>
      <c r="AI565" s="184">
        <v>0</v>
      </c>
      <c r="AJ565" s="643">
        <v>0</v>
      </c>
    </row>
    <row r="566" spans="1:36" x14ac:dyDescent="0.2">
      <c r="A566" s="440" t="s">
        <v>44</v>
      </c>
      <c r="B566" s="642">
        <v>0</v>
      </c>
      <c r="C566" s="184">
        <v>0</v>
      </c>
      <c r="D566" s="184">
        <v>0</v>
      </c>
      <c r="E566" s="184">
        <v>0</v>
      </c>
      <c r="F566" s="184">
        <v>0</v>
      </c>
      <c r="G566" s="184">
        <v>0</v>
      </c>
      <c r="H566" s="184">
        <v>0</v>
      </c>
      <c r="I566" s="184">
        <v>0</v>
      </c>
      <c r="J566" s="184">
        <v>0</v>
      </c>
      <c r="K566" s="184">
        <v>0</v>
      </c>
      <c r="L566" s="184">
        <v>0</v>
      </c>
      <c r="M566" s="654" t="s">
        <v>24</v>
      </c>
      <c r="N566" s="670" t="s">
        <v>44</v>
      </c>
      <c r="O566" s="642">
        <v>0</v>
      </c>
      <c r="P566" s="184">
        <v>0</v>
      </c>
      <c r="Q566" s="184">
        <v>0</v>
      </c>
      <c r="R566" s="184">
        <v>0</v>
      </c>
      <c r="S566" s="184">
        <v>0</v>
      </c>
      <c r="T566" s="184">
        <v>0</v>
      </c>
      <c r="U566" s="184">
        <v>0</v>
      </c>
      <c r="V566" s="184">
        <v>0</v>
      </c>
      <c r="W566" s="184">
        <v>0</v>
      </c>
      <c r="X566" s="184">
        <v>0</v>
      </c>
      <c r="Y566" s="184">
        <v>0</v>
      </c>
      <c r="Z566" s="184">
        <v>0</v>
      </c>
      <c r="AA566" s="184">
        <v>0</v>
      </c>
      <c r="AB566" s="184">
        <v>0</v>
      </c>
      <c r="AC566" s="185" t="s">
        <v>24</v>
      </c>
      <c r="AD566" s="185" t="s">
        <v>24</v>
      </c>
      <c r="AE566" s="184">
        <v>0</v>
      </c>
      <c r="AF566" s="185">
        <v>0</v>
      </c>
      <c r="AG566" s="184">
        <v>0</v>
      </c>
      <c r="AH566" s="185">
        <v>0</v>
      </c>
      <c r="AI566" s="184">
        <v>0</v>
      </c>
      <c r="AJ566" s="643">
        <v>0</v>
      </c>
    </row>
    <row r="567" spans="1:36" x14ac:dyDescent="0.2">
      <c r="A567" s="440" t="s">
        <v>66</v>
      </c>
      <c r="B567" s="642">
        <v>0</v>
      </c>
      <c r="C567" s="184">
        <v>0</v>
      </c>
      <c r="D567" s="184">
        <v>0</v>
      </c>
      <c r="E567" s="184">
        <v>0</v>
      </c>
      <c r="F567" s="184">
        <v>0</v>
      </c>
      <c r="G567" s="184">
        <v>0</v>
      </c>
      <c r="H567" s="184">
        <v>0</v>
      </c>
      <c r="I567" s="184">
        <v>0</v>
      </c>
      <c r="J567" s="184">
        <v>0</v>
      </c>
      <c r="K567" s="184">
        <v>0</v>
      </c>
      <c r="L567" s="184">
        <v>0</v>
      </c>
      <c r="M567" s="654" t="s">
        <v>24</v>
      </c>
      <c r="N567" s="670" t="s">
        <v>66</v>
      </c>
      <c r="O567" s="642">
        <v>0</v>
      </c>
      <c r="P567" s="184">
        <v>0</v>
      </c>
      <c r="Q567" s="184">
        <v>0</v>
      </c>
      <c r="R567" s="184">
        <v>0</v>
      </c>
      <c r="S567" s="184">
        <v>0</v>
      </c>
      <c r="T567" s="184">
        <v>0</v>
      </c>
      <c r="U567" s="184">
        <v>0</v>
      </c>
      <c r="V567" s="184">
        <v>0</v>
      </c>
      <c r="W567" s="184">
        <v>0</v>
      </c>
      <c r="X567" s="184">
        <v>0</v>
      </c>
      <c r="Y567" s="184">
        <v>0</v>
      </c>
      <c r="Z567" s="184">
        <v>0</v>
      </c>
      <c r="AA567" s="184">
        <v>0</v>
      </c>
      <c r="AB567" s="184">
        <v>0</v>
      </c>
      <c r="AC567" s="185" t="s">
        <v>24</v>
      </c>
      <c r="AD567" s="185" t="s">
        <v>24</v>
      </c>
      <c r="AE567" s="184">
        <v>0</v>
      </c>
      <c r="AF567" s="185">
        <v>0</v>
      </c>
      <c r="AG567" s="184">
        <v>0</v>
      </c>
      <c r="AH567" s="185">
        <v>0</v>
      </c>
      <c r="AI567" s="184">
        <v>0</v>
      </c>
      <c r="AJ567" s="643">
        <v>0</v>
      </c>
    </row>
    <row r="568" spans="1:36" x14ac:dyDescent="0.2">
      <c r="A568" s="440" t="s">
        <v>68</v>
      </c>
      <c r="B568" s="642">
        <v>1</v>
      </c>
      <c r="C568" s="184">
        <v>0</v>
      </c>
      <c r="D568" s="184">
        <v>1</v>
      </c>
      <c r="E568" s="184">
        <v>0</v>
      </c>
      <c r="F568" s="184">
        <v>0</v>
      </c>
      <c r="G568" s="184">
        <v>0</v>
      </c>
      <c r="H568" s="184">
        <v>0</v>
      </c>
      <c r="I568" s="184">
        <v>0</v>
      </c>
      <c r="J568" s="184">
        <v>0</v>
      </c>
      <c r="K568" s="184">
        <v>0</v>
      </c>
      <c r="L568" s="184">
        <v>0</v>
      </c>
      <c r="M568" s="654" t="s">
        <v>24</v>
      </c>
      <c r="N568" s="670" t="s">
        <v>68</v>
      </c>
      <c r="O568" s="642">
        <v>0</v>
      </c>
      <c r="P568" s="184">
        <v>0</v>
      </c>
      <c r="Q568" s="184">
        <v>0</v>
      </c>
      <c r="R568" s="184">
        <v>0</v>
      </c>
      <c r="S568" s="184">
        <v>0</v>
      </c>
      <c r="T568" s="184">
        <v>0</v>
      </c>
      <c r="U568" s="184">
        <v>0</v>
      </c>
      <c r="V568" s="184">
        <v>1</v>
      </c>
      <c r="W568" s="184">
        <v>0</v>
      </c>
      <c r="X568" s="184">
        <v>0</v>
      </c>
      <c r="Y568" s="184">
        <v>0</v>
      </c>
      <c r="Z568" s="184">
        <v>0</v>
      </c>
      <c r="AA568" s="184">
        <v>0</v>
      </c>
      <c r="AB568" s="184">
        <v>0</v>
      </c>
      <c r="AC568" s="185">
        <v>42.7</v>
      </c>
      <c r="AD568" s="185" t="s">
        <v>24</v>
      </c>
      <c r="AE568" s="184">
        <v>0</v>
      </c>
      <c r="AF568" s="185">
        <v>0</v>
      </c>
      <c r="AG568" s="184">
        <v>0</v>
      </c>
      <c r="AH568" s="185">
        <v>0</v>
      </c>
      <c r="AI568" s="184">
        <v>0</v>
      </c>
      <c r="AJ568" s="643">
        <v>0</v>
      </c>
    </row>
    <row r="569" spans="1:36" x14ac:dyDescent="0.2">
      <c r="A569" s="440" t="s">
        <v>70</v>
      </c>
      <c r="B569" s="642">
        <v>1</v>
      </c>
      <c r="C569" s="184">
        <v>0</v>
      </c>
      <c r="D569" s="184">
        <v>1</v>
      </c>
      <c r="E569" s="184">
        <v>0</v>
      </c>
      <c r="F569" s="184">
        <v>0</v>
      </c>
      <c r="G569" s="184">
        <v>0</v>
      </c>
      <c r="H569" s="184">
        <v>0</v>
      </c>
      <c r="I569" s="184">
        <v>0</v>
      </c>
      <c r="J569" s="184">
        <v>0</v>
      </c>
      <c r="K569" s="184">
        <v>0</v>
      </c>
      <c r="L569" s="184">
        <v>0</v>
      </c>
      <c r="M569" s="654" t="s">
        <v>24</v>
      </c>
      <c r="N569" s="670" t="s">
        <v>70</v>
      </c>
      <c r="O569" s="642">
        <v>0</v>
      </c>
      <c r="P569" s="184">
        <v>0</v>
      </c>
      <c r="Q569" s="184">
        <v>0</v>
      </c>
      <c r="R569" s="184">
        <v>0</v>
      </c>
      <c r="S569" s="184">
        <v>0</v>
      </c>
      <c r="T569" s="184">
        <v>0</v>
      </c>
      <c r="U569" s="184">
        <v>0</v>
      </c>
      <c r="V569" s="184">
        <v>0</v>
      </c>
      <c r="W569" s="184">
        <v>1</v>
      </c>
      <c r="X569" s="184">
        <v>0</v>
      </c>
      <c r="Y569" s="184">
        <v>0</v>
      </c>
      <c r="Z569" s="184">
        <v>0</v>
      </c>
      <c r="AA569" s="184">
        <v>0</v>
      </c>
      <c r="AB569" s="184">
        <v>0</v>
      </c>
      <c r="AC569" s="185">
        <v>49.3</v>
      </c>
      <c r="AD569" s="185" t="s">
        <v>24</v>
      </c>
      <c r="AE569" s="184">
        <v>0</v>
      </c>
      <c r="AF569" s="185">
        <v>0</v>
      </c>
      <c r="AG569" s="184">
        <v>0</v>
      </c>
      <c r="AH569" s="185">
        <v>0</v>
      </c>
      <c r="AI569" s="184">
        <v>0</v>
      </c>
      <c r="AJ569" s="643">
        <v>0</v>
      </c>
    </row>
    <row r="570" spans="1:36" x14ac:dyDescent="0.2">
      <c r="A570" s="440" t="s">
        <v>46</v>
      </c>
      <c r="B570" s="642">
        <v>2</v>
      </c>
      <c r="C570" s="184">
        <v>0</v>
      </c>
      <c r="D570" s="184">
        <v>2</v>
      </c>
      <c r="E570" s="184">
        <v>0</v>
      </c>
      <c r="F570" s="184">
        <v>0</v>
      </c>
      <c r="G570" s="184">
        <v>0</v>
      </c>
      <c r="H570" s="184">
        <v>0</v>
      </c>
      <c r="I570" s="184">
        <v>0</v>
      </c>
      <c r="J570" s="184">
        <v>0</v>
      </c>
      <c r="K570" s="184">
        <v>0</v>
      </c>
      <c r="L570" s="184">
        <v>0</v>
      </c>
      <c r="M570" s="654" t="s">
        <v>24</v>
      </c>
      <c r="N570" s="670" t="s">
        <v>46</v>
      </c>
      <c r="O570" s="642">
        <v>0</v>
      </c>
      <c r="P570" s="184">
        <v>0</v>
      </c>
      <c r="Q570" s="184">
        <v>0</v>
      </c>
      <c r="R570" s="184">
        <v>0</v>
      </c>
      <c r="S570" s="184">
        <v>0</v>
      </c>
      <c r="T570" s="184">
        <v>0</v>
      </c>
      <c r="U570" s="184">
        <v>2</v>
      </c>
      <c r="V570" s="184">
        <v>0</v>
      </c>
      <c r="W570" s="184">
        <v>0</v>
      </c>
      <c r="X570" s="184">
        <v>0</v>
      </c>
      <c r="Y570" s="184">
        <v>0</v>
      </c>
      <c r="Z570" s="184">
        <v>0</v>
      </c>
      <c r="AA570" s="184">
        <v>0</v>
      </c>
      <c r="AB570" s="184">
        <v>0</v>
      </c>
      <c r="AC570" s="185">
        <v>38.299999999999997</v>
      </c>
      <c r="AD570" s="185" t="s">
        <v>24</v>
      </c>
      <c r="AE570" s="184">
        <v>0</v>
      </c>
      <c r="AF570" s="185">
        <v>0</v>
      </c>
      <c r="AG570" s="184">
        <v>0</v>
      </c>
      <c r="AH570" s="185">
        <v>0</v>
      </c>
      <c r="AI570" s="184">
        <v>0</v>
      </c>
      <c r="AJ570" s="643">
        <v>0</v>
      </c>
    </row>
    <row r="571" spans="1:36" x14ac:dyDescent="0.2">
      <c r="A571" s="440" t="s">
        <v>73</v>
      </c>
      <c r="B571" s="642">
        <v>2</v>
      </c>
      <c r="C571" s="184">
        <v>0</v>
      </c>
      <c r="D571" s="184">
        <v>2</v>
      </c>
      <c r="E571" s="184">
        <v>0</v>
      </c>
      <c r="F571" s="184">
        <v>0</v>
      </c>
      <c r="G571" s="184">
        <v>0</v>
      </c>
      <c r="H571" s="184">
        <v>0</v>
      </c>
      <c r="I571" s="184">
        <v>0</v>
      </c>
      <c r="J571" s="184">
        <v>0</v>
      </c>
      <c r="K571" s="184">
        <v>0</v>
      </c>
      <c r="L571" s="184">
        <v>0</v>
      </c>
      <c r="M571" s="654" t="s">
        <v>24</v>
      </c>
      <c r="N571" s="670" t="s">
        <v>73</v>
      </c>
      <c r="O571" s="642">
        <v>0</v>
      </c>
      <c r="P571" s="184">
        <v>0</v>
      </c>
      <c r="Q571" s="184">
        <v>0</v>
      </c>
      <c r="R571" s="184">
        <v>0</v>
      </c>
      <c r="S571" s="184">
        <v>0</v>
      </c>
      <c r="T571" s="184">
        <v>0</v>
      </c>
      <c r="U571" s="184">
        <v>1</v>
      </c>
      <c r="V571" s="184">
        <v>1</v>
      </c>
      <c r="W571" s="184">
        <v>0</v>
      </c>
      <c r="X571" s="184">
        <v>0</v>
      </c>
      <c r="Y571" s="184">
        <v>0</v>
      </c>
      <c r="Z571" s="184">
        <v>0</v>
      </c>
      <c r="AA571" s="184">
        <v>0</v>
      </c>
      <c r="AB571" s="184">
        <v>0</v>
      </c>
      <c r="AC571" s="185">
        <v>38</v>
      </c>
      <c r="AD571" s="185" t="s">
        <v>24</v>
      </c>
      <c r="AE571" s="184">
        <v>0</v>
      </c>
      <c r="AF571" s="185">
        <v>0</v>
      </c>
      <c r="AG571" s="184">
        <v>0</v>
      </c>
      <c r="AH571" s="185">
        <v>0</v>
      </c>
      <c r="AI571" s="184">
        <v>0</v>
      </c>
      <c r="AJ571" s="643">
        <v>0</v>
      </c>
    </row>
    <row r="572" spans="1:36" x14ac:dyDescent="0.2">
      <c r="A572" s="440" t="s">
        <v>75</v>
      </c>
      <c r="B572" s="642">
        <v>1</v>
      </c>
      <c r="C572" s="184">
        <v>0</v>
      </c>
      <c r="D572" s="184">
        <v>1</v>
      </c>
      <c r="E572" s="184">
        <v>0</v>
      </c>
      <c r="F572" s="184">
        <v>0</v>
      </c>
      <c r="G572" s="184">
        <v>0</v>
      </c>
      <c r="H572" s="184">
        <v>0</v>
      </c>
      <c r="I572" s="184">
        <v>0</v>
      </c>
      <c r="J572" s="184">
        <v>0</v>
      </c>
      <c r="K572" s="184">
        <v>0</v>
      </c>
      <c r="L572" s="184">
        <v>0</v>
      </c>
      <c r="M572" s="654" t="s">
        <v>24</v>
      </c>
      <c r="N572" s="670" t="s">
        <v>75</v>
      </c>
      <c r="O572" s="642">
        <v>0</v>
      </c>
      <c r="P572" s="184">
        <v>0</v>
      </c>
      <c r="Q572" s="184">
        <v>0</v>
      </c>
      <c r="R572" s="184">
        <v>0</v>
      </c>
      <c r="S572" s="184">
        <v>0</v>
      </c>
      <c r="T572" s="184">
        <v>0</v>
      </c>
      <c r="U572" s="184">
        <v>0</v>
      </c>
      <c r="V572" s="184">
        <v>0</v>
      </c>
      <c r="W572" s="184">
        <v>1</v>
      </c>
      <c r="X572" s="184">
        <v>0</v>
      </c>
      <c r="Y572" s="184">
        <v>0</v>
      </c>
      <c r="Z572" s="184">
        <v>0</v>
      </c>
      <c r="AA572" s="184">
        <v>0</v>
      </c>
      <c r="AB572" s="184">
        <v>0</v>
      </c>
      <c r="AC572" s="185">
        <v>46.6</v>
      </c>
      <c r="AD572" s="185" t="s">
        <v>24</v>
      </c>
      <c r="AE572" s="184">
        <v>0</v>
      </c>
      <c r="AF572" s="185">
        <v>0</v>
      </c>
      <c r="AG572" s="184">
        <v>0</v>
      </c>
      <c r="AH572" s="185">
        <v>0</v>
      </c>
      <c r="AI572" s="184">
        <v>0</v>
      </c>
      <c r="AJ572" s="643">
        <v>0</v>
      </c>
    </row>
    <row r="573" spans="1:36" ht="13.5" thickBot="1" x14ac:dyDescent="0.25">
      <c r="A573" s="440" t="s">
        <v>77</v>
      </c>
      <c r="B573" s="644">
        <v>1</v>
      </c>
      <c r="C573" s="188">
        <v>0</v>
      </c>
      <c r="D573" s="188">
        <v>1</v>
      </c>
      <c r="E573" s="188">
        <v>0</v>
      </c>
      <c r="F573" s="188">
        <v>0</v>
      </c>
      <c r="G573" s="188">
        <v>0</v>
      </c>
      <c r="H573" s="188">
        <v>0</v>
      </c>
      <c r="I573" s="188">
        <v>0</v>
      </c>
      <c r="J573" s="188">
        <v>0</v>
      </c>
      <c r="K573" s="188">
        <v>0</v>
      </c>
      <c r="L573" s="188">
        <v>0</v>
      </c>
      <c r="M573" s="655" t="s">
        <v>24</v>
      </c>
      <c r="N573" s="670" t="s">
        <v>77</v>
      </c>
      <c r="O573" s="644">
        <v>0</v>
      </c>
      <c r="P573" s="188">
        <v>0</v>
      </c>
      <c r="Q573" s="188">
        <v>0</v>
      </c>
      <c r="R573" s="188">
        <v>0</v>
      </c>
      <c r="S573" s="188">
        <v>0</v>
      </c>
      <c r="T573" s="188">
        <v>0</v>
      </c>
      <c r="U573" s="188">
        <v>0</v>
      </c>
      <c r="V573" s="188">
        <v>0</v>
      </c>
      <c r="W573" s="188">
        <v>0</v>
      </c>
      <c r="X573" s="188">
        <v>1</v>
      </c>
      <c r="Y573" s="188">
        <v>0</v>
      </c>
      <c r="Z573" s="188">
        <v>0</v>
      </c>
      <c r="AA573" s="188">
        <v>0</v>
      </c>
      <c r="AB573" s="188">
        <v>0</v>
      </c>
      <c r="AC573" s="189">
        <v>52.1</v>
      </c>
      <c r="AD573" s="189" t="s">
        <v>24</v>
      </c>
      <c r="AE573" s="188">
        <v>0</v>
      </c>
      <c r="AF573" s="189">
        <v>0</v>
      </c>
      <c r="AG573" s="188">
        <v>0</v>
      </c>
      <c r="AH573" s="189">
        <v>0</v>
      </c>
      <c r="AI573" s="188">
        <v>0</v>
      </c>
      <c r="AJ573" s="645">
        <v>0</v>
      </c>
    </row>
    <row r="574" spans="1:36" x14ac:dyDescent="0.2">
      <c r="A574" s="440" t="s">
        <v>48</v>
      </c>
      <c r="B574" s="642">
        <v>1</v>
      </c>
      <c r="C574" s="184">
        <v>0</v>
      </c>
      <c r="D574" s="184">
        <v>1</v>
      </c>
      <c r="E574" s="184">
        <v>0</v>
      </c>
      <c r="F574" s="184">
        <v>0</v>
      </c>
      <c r="G574" s="184">
        <v>0</v>
      </c>
      <c r="H574" s="184">
        <v>0</v>
      </c>
      <c r="I574" s="184">
        <v>0</v>
      </c>
      <c r="J574" s="184">
        <v>0</v>
      </c>
      <c r="K574" s="184">
        <v>0</v>
      </c>
      <c r="L574" s="184">
        <v>0</v>
      </c>
      <c r="M574" s="654" t="s">
        <v>24</v>
      </c>
      <c r="N574" s="670" t="s">
        <v>48</v>
      </c>
      <c r="O574" s="642">
        <v>0</v>
      </c>
      <c r="P574" s="184">
        <v>0</v>
      </c>
      <c r="Q574" s="184">
        <v>0</v>
      </c>
      <c r="R574" s="184">
        <v>0</v>
      </c>
      <c r="S574" s="184">
        <v>0</v>
      </c>
      <c r="T574" s="184">
        <v>0</v>
      </c>
      <c r="U574" s="184">
        <v>1</v>
      </c>
      <c r="V574" s="184">
        <v>0</v>
      </c>
      <c r="W574" s="184">
        <v>0</v>
      </c>
      <c r="X574" s="184">
        <v>0</v>
      </c>
      <c r="Y574" s="184">
        <v>0</v>
      </c>
      <c r="Z574" s="184">
        <v>0</v>
      </c>
      <c r="AA574" s="184">
        <v>0</v>
      </c>
      <c r="AB574" s="184">
        <v>0</v>
      </c>
      <c r="AC574" s="185">
        <v>35.1</v>
      </c>
      <c r="AD574" s="185" t="s">
        <v>24</v>
      </c>
      <c r="AE574" s="184">
        <v>0</v>
      </c>
      <c r="AF574" s="185">
        <v>0</v>
      </c>
      <c r="AG574" s="184">
        <v>0</v>
      </c>
      <c r="AH574" s="185">
        <v>0</v>
      </c>
      <c r="AI574" s="184">
        <v>0</v>
      </c>
      <c r="AJ574" s="643">
        <v>0</v>
      </c>
    </row>
    <row r="575" spans="1:36" x14ac:dyDescent="0.2">
      <c r="A575" s="440" t="s">
        <v>79</v>
      </c>
      <c r="B575" s="642">
        <v>0</v>
      </c>
      <c r="C575" s="184">
        <v>0</v>
      </c>
      <c r="D575" s="184">
        <v>0</v>
      </c>
      <c r="E575" s="184">
        <v>0</v>
      </c>
      <c r="F575" s="184">
        <v>0</v>
      </c>
      <c r="G575" s="184">
        <v>0</v>
      </c>
      <c r="H575" s="184">
        <v>0</v>
      </c>
      <c r="I575" s="184">
        <v>0</v>
      </c>
      <c r="J575" s="184">
        <v>0</v>
      </c>
      <c r="K575" s="184">
        <v>0</v>
      </c>
      <c r="L575" s="184">
        <v>0</v>
      </c>
      <c r="M575" s="654" t="s">
        <v>24</v>
      </c>
      <c r="N575" s="670" t="s">
        <v>79</v>
      </c>
      <c r="O575" s="642">
        <v>0</v>
      </c>
      <c r="P575" s="184">
        <v>0</v>
      </c>
      <c r="Q575" s="184">
        <v>0</v>
      </c>
      <c r="R575" s="184">
        <v>0</v>
      </c>
      <c r="S575" s="184">
        <v>0</v>
      </c>
      <c r="T575" s="184">
        <v>0</v>
      </c>
      <c r="U575" s="184">
        <v>0</v>
      </c>
      <c r="V575" s="184">
        <v>0</v>
      </c>
      <c r="W575" s="184">
        <v>0</v>
      </c>
      <c r="X575" s="184">
        <v>0</v>
      </c>
      <c r="Y575" s="184">
        <v>0</v>
      </c>
      <c r="Z575" s="184">
        <v>0</v>
      </c>
      <c r="AA575" s="184">
        <v>0</v>
      </c>
      <c r="AB575" s="184">
        <v>0</v>
      </c>
      <c r="AC575" s="185" t="s">
        <v>24</v>
      </c>
      <c r="AD575" s="185" t="s">
        <v>24</v>
      </c>
      <c r="AE575" s="184">
        <v>0</v>
      </c>
      <c r="AF575" s="185">
        <v>0</v>
      </c>
      <c r="AG575" s="184">
        <v>0</v>
      </c>
      <c r="AH575" s="185">
        <v>0</v>
      </c>
      <c r="AI575" s="184">
        <v>0</v>
      </c>
      <c r="AJ575" s="643">
        <v>0</v>
      </c>
    </row>
    <row r="576" spans="1:36" x14ac:dyDescent="0.2">
      <c r="A576" s="440" t="s">
        <v>80</v>
      </c>
      <c r="B576" s="642">
        <v>1</v>
      </c>
      <c r="C576" s="184">
        <v>0</v>
      </c>
      <c r="D576" s="184">
        <v>1</v>
      </c>
      <c r="E576" s="184">
        <v>0</v>
      </c>
      <c r="F576" s="184">
        <v>0</v>
      </c>
      <c r="G576" s="184">
        <v>0</v>
      </c>
      <c r="H576" s="184">
        <v>0</v>
      </c>
      <c r="I576" s="184">
        <v>0</v>
      </c>
      <c r="J576" s="184">
        <v>0</v>
      </c>
      <c r="K576" s="184">
        <v>0</v>
      </c>
      <c r="L576" s="184">
        <v>0</v>
      </c>
      <c r="M576" s="654" t="s">
        <v>24</v>
      </c>
      <c r="N576" s="670" t="s">
        <v>80</v>
      </c>
      <c r="O576" s="642">
        <v>0</v>
      </c>
      <c r="P576" s="184">
        <v>0</v>
      </c>
      <c r="Q576" s="184">
        <v>0</v>
      </c>
      <c r="R576" s="184">
        <v>0</v>
      </c>
      <c r="S576" s="184">
        <v>0</v>
      </c>
      <c r="T576" s="184">
        <v>0</v>
      </c>
      <c r="U576" s="184">
        <v>0</v>
      </c>
      <c r="V576" s="184">
        <v>0</v>
      </c>
      <c r="W576" s="184">
        <v>0</v>
      </c>
      <c r="X576" s="184">
        <v>1</v>
      </c>
      <c r="Y576" s="184">
        <v>0</v>
      </c>
      <c r="Z576" s="184">
        <v>0</v>
      </c>
      <c r="AA576" s="184">
        <v>0</v>
      </c>
      <c r="AB576" s="184">
        <v>0</v>
      </c>
      <c r="AC576" s="185">
        <v>51.1</v>
      </c>
      <c r="AD576" s="185" t="s">
        <v>24</v>
      </c>
      <c r="AE576" s="184">
        <v>0</v>
      </c>
      <c r="AF576" s="185">
        <v>0</v>
      </c>
      <c r="AG576" s="184">
        <v>0</v>
      </c>
      <c r="AH576" s="185">
        <v>0</v>
      </c>
      <c r="AI576" s="184">
        <v>0</v>
      </c>
      <c r="AJ576" s="643">
        <v>0</v>
      </c>
    </row>
    <row r="577" spans="1:36" ht="13.5" thickBot="1" x14ac:dyDescent="0.25">
      <c r="A577" s="440" t="s">
        <v>81</v>
      </c>
      <c r="B577" s="644">
        <v>2</v>
      </c>
      <c r="C577" s="188">
        <v>0</v>
      </c>
      <c r="D577" s="188">
        <v>2</v>
      </c>
      <c r="E577" s="188">
        <v>0</v>
      </c>
      <c r="F577" s="188">
        <v>0</v>
      </c>
      <c r="G577" s="188">
        <v>0</v>
      </c>
      <c r="H577" s="188">
        <v>0</v>
      </c>
      <c r="I577" s="188">
        <v>0</v>
      </c>
      <c r="J577" s="188">
        <v>0</v>
      </c>
      <c r="K577" s="188">
        <v>0</v>
      </c>
      <c r="L577" s="188">
        <v>0</v>
      </c>
      <c r="M577" s="655" t="s">
        <v>24</v>
      </c>
      <c r="N577" s="670" t="s">
        <v>81</v>
      </c>
      <c r="O577" s="644">
        <v>0</v>
      </c>
      <c r="P577" s="188">
        <v>0</v>
      </c>
      <c r="Q577" s="188">
        <v>0</v>
      </c>
      <c r="R577" s="188">
        <v>0</v>
      </c>
      <c r="S577" s="188">
        <v>0</v>
      </c>
      <c r="T577" s="188">
        <v>0</v>
      </c>
      <c r="U577" s="188">
        <v>0</v>
      </c>
      <c r="V577" s="188">
        <v>2</v>
      </c>
      <c r="W577" s="188">
        <v>0</v>
      </c>
      <c r="X577" s="188">
        <v>0</v>
      </c>
      <c r="Y577" s="188">
        <v>0</v>
      </c>
      <c r="Z577" s="188">
        <v>0</v>
      </c>
      <c r="AA577" s="188">
        <v>0</v>
      </c>
      <c r="AB577" s="188">
        <v>0</v>
      </c>
      <c r="AC577" s="189">
        <v>43.4</v>
      </c>
      <c r="AD577" s="189" t="s">
        <v>24</v>
      </c>
      <c r="AE577" s="188">
        <v>0</v>
      </c>
      <c r="AF577" s="189">
        <v>0</v>
      </c>
      <c r="AG577" s="188">
        <v>0</v>
      </c>
      <c r="AH577" s="189">
        <v>0</v>
      </c>
      <c r="AI577" s="188">
        <v>0</v>
      </c>
      <c r="AJ577" s="645">
        <v>0</v>
      </c>
    </row>
    <row r="578" spans="1:36" x14ac:dyDescent="0.2">
      <c r="A578" s="440" t="s">
        <v>50</v>
      </c>
      <c r="B578" s="646">
        <v>3</v>
      </c>
      <c r="C578" s="186">
        <v>0</v>
      </c>
      <c r="D578" s="186">
        <v>3</v>
      </c>
      <c r="E578" s="186">
        <v>0</v>
      </c>
      <c r="F578" s="186">
        <v>0</v>
      </c>
      <c r="G578" s="186">
        <v>0</v>
      </c>
      <c r="H578" s="186">
        <v>0</v>
      </c>
      <c r="I578" s="186">
        <v>0</v>
      </c>
      <c r="J578" s="186">
        <v>0</v>
      </c>
      <c r="K578" s="186">
        <v>0</v>
      </c>
      <c r="L578" s="186">
        <v>0</v>
      </c>
      <c r="M578" s="656" t="s">
        <v>24</v>
      </c>
      <c r="N578" s="670" t="s">
        <v>50</v>
      </c>
      <c r="O578" s="646">
        <v>0</v>
      </c>
      <c r="P578" s="186">
        <v>0</v>
      </c>
      <c r="Q578" s="186">
        <v>0</v>
      </c>
      <c r="R578" s="186">
        <v>0</v>
      </c>
      <c r="S578" s="186">
        <v>0</v>
      </c>
      <c r="T578" s="186">
        <v>0</v>
      </c>
      <c r="U578" s="186">
        <v>1</v>
      </c>
      <c r="V578" s="186">
        <v>1</v>
      </c>
      <c r="W578" s="186">
        <v>0</v>
      </c>
      <c r="X578" s="186">
        <v>1</v>
      </c>
      <c r="Y578" s="186">
        <v>0</v>
      </c>
      <c r="Z578" s="186">
        <v>0</v>
      </c>
      <c r="AA578" s="186">
        <v>0</v>
      </c>
      <c r="AB578" s="186">
        <v>0</v>
      </c>
      <c r="AC578" s="187">
        <v>44.7</v>
      </c>
      <c r="AD578" s="187" t="s">
        <v>24</v>
      </c>
      <c r="AE578" s="186">
        <v>0</v>
      </c>
      <c r="AF578" s="187">
        <v>0</v>
      </c>
      <c r="AG578" s="186">
        <v>0</v>
      </c>
      <c r="AH578" s="187">
        <v>0</v>
      </c>
      <c r="AI578" s="186">
        <v>0</v>
      </c>
      <c r="AJ578" s="647">
        <v>0</v>
      </c>
    </row>
    <row r="579" spans="1:36" x14ac:dyDescent="0.2">
      <c r="A579" s="440" t="s">
        <v>82</v>
      </c>
      <c r="B579" s="642">
        <v>3</v>
      </c>
      <c r="C579" s="184">
        <v>0</v>
      </c>
      <c r="D579" s="184">
        <v>3</v>
      </c>
      <c r="E579" s="184">
        <v>0</v>
      </c>
      <c r="F579" s="184">
        <v>0</v>
      </c>
      <c r="G579" s="184">
        <v>0</v>
      </c>
      <c r="H579" s="184">
        <v>0</v>
      </c>
      <c r="I579" s="184">
        <v>0</v>
      </c>
      <c r="J579" s="184">
        <v>0</v>
      </c>
      <c r="K579" s="184">
        <v>0</v>
      </c>
      <c r="L579" s="184">
        <v>0</v>
      </c>
      <c r="M579" s="654" t="s">
        <v>24</v>
      </c>
      <c r="N579" s="670" t="s">
        <v>82</v>
      </c>
      <c r="O579" s="642">
        <v>0</v>
      </c>
      <c r="P579" s="184">
        <v>0</v>
      </c>
      <c r="Q579" s="184">
        <v>0</v>
      </c>
      <c r="R579" s="184">
        <v>0</v>
      </c>
      <c r="S579" s="184">
        <v>0</v>
      </c>
      <c r="T579" s="184">
        <v>0</v>
      </c>
      <c r="U579" s="184">
        <v>1</v>
      </c>
      <c r="V579" s="184">
        <v>1</v>
      </c>
      <c r="W579" s="184">
        <v>1</v>
      </c>
      <c r="X579" s="184">
        <v>0</v>
      </c>
      <c r="Y579" s="184">
        <v>0</v>
      </c>
      <c r="Z579" s="184">
        <v>0</v>
      </c>
      <c r="AA579" s="184">
        <v>0</v>
      </c>
      <c r="AB579" s="184">
        <v>0</v>
      </c>
      <c r="AC579" s="185">
        <v>42.5</v>
      </c>
      <c r="AD579" s="185" t="s">
        <v>24</v>
      </c>
      <c r="AE579" s="184">
        <v>0</v>
      </c>
      <c r="AF579" s="185">
        <v>0</v>
      </c>
      <c r="AG579" s="184">
        <v>0</v>
      </c>
      <c r="AH579" s="185">
        <v>0</v>
      </c>
      <c r="AI579" s="184">
        <v>0</v>
      </c>
      <c r="AJ579" s="643">
        <v>0</v>
      </c>
    </row>
    <row r="580" spans="1:36" x14ac:dyDescent="0.2">
      <c r="A580" s="440" t="s">
        <v>83</v>
      </c>
      <c r="B580" s="642">
        <v>2</v>
      </c>
      <c r="C580" s="184">
        <v>0</v>
      </c>
      <c r="D580" s="184">
        <v>1</v>
      </c>
      <c r="E580" s="184">
        <v>0</v>
      </c>
      <c r="F580" s="184">
        <v>1</v>
      </c>
      <c r="G580" s="184">
        <v>0</v>
      </c>
      <c r="H580" s="184">
        <v>0</v>
      </c>
      <c r="I580" s="184">
        <v>0</v>
      </c>
      <c r="J580" s="184">
        <v>0</v>
      </c>
      <c r="K580" s="184">
        <v>0</v>
      </c>
      <c r="L580" s="184">
        <v>0</v>
      </c>
      <c r="M580" s="654" t="s">
        <v>24</v>
      </c>
      <c r="N580" s="670" t="s">
        <v>83</v>
      </c>
      <c r="O580" s="642">
        <v>0</v>
      </c>
      <c r="P580" s="184">
        <v>0</v>
      </c>
      <c r="Q580" s="184">
        <v>0</v>
      </c>
      <c r="R580" s="184">
        <v>0</v>
      </c>
      <c r="S580" s="184">
        <v>0</v>
      </c>
      <c r="T580" s="184">
        <v>1</v>
      </c>
      <c r="U580" s="184">
        <v>0</v>
      </c>
      <c r="V580" s="184">
        <v>1</v>
      </c>
      <c r="W580" s="184">
        <v>0</v>
      </c>
      <c r="X580" s="184">
        <v>0</v>
      </c>
      <c r="Y580" s="184">
        <v>0</v>
      </c>
      <c r="Z580" s="184">
        <v>0</v>
      </c>
      <c r="AA580" s="184">
        <v>0</v>
      </c>
      <c r="AB580" s="184">
        <v>0</v>
      </c>
      <c r="AC580" s="185">
        <v>38.5</v>
      </c>
      <c r="AD580" s="185" t="s">
        <v>24</v>
      </c>
      <c r="AE580" s="184">
        <v>0</v>
      </c>
      <c r="AF580" s="185">
        <v>0</v>
      </c>
      <c r="AG580" s="184">
        <v>0</v>
      </c>
      <c r="AH580" s="185">
        <v>0</v>
      </c>
      <c r="AI580" s="184">
        <v>0</v>
      </c>
      <c r="AJ580" s="643">
        <v>0</v>
      </c>
    </row>
    <row r="581" spans="1:36" x14ac:dyDescent="0.2">
      <c r="A581" s="440" t="s">
        <v>84</v>
      </c>
      <c r="B581" s="642">
        <v>5</v>
      </c>
      <c r="C581" s="184">
        <v>0</v>
      </c>
      <c r="D581" s="184">
        <v>5</v>
      </c>
      <c r="E581" s="184">
        <v>0</v>
      </c>
      <c r="F581" s="184">
        <v>0</v>
      </c>
      <c r="G581" s="184">
        <v>0</v>
      </c>
      <c r="H581" s="184">
        <v>0</v>
      </c>
      <c r="I581" s="184">
        <v>0</v>
      </c>
      <c r="J581" s="184">
        <v>0</v>
      </c>
      <c r="K581" s="184">
        <v>0</v>
      </c>
      <c r="L581" s="184">
        <v>0</v>
      </c>
      <c r="M581" s="654" t="s">
        <v>24</v>
      </c>
      <c r="N581" s="670" t="s">
        <v>84</v>
      </c>
      <c r="O581" s="642">
        <v>0</v>
      </c>
      <c r="P581" s="184">
        <v>0</v>
      </c>
      <c r="Q581" s="184">
        <v>0</v>
      </c>
      <c r="R581" s="184">
        <v>0</v>
      </c>
      <c r="S581" s="184">
        <v>1</v>
      </c>
      <c r="T581" s="184">
        <v>0</v>
      </c>
      <c r="U581" s="184">
        <v>2</v>
      </c>
      <c r="V581" s="184">
        <v>1</v>
      </c>
      <c r="W581" s="184">
        <v>0</v>
      </c>
      <c r="X581" s="184">
        <v>1</v>
      </c>
      <c r="Y581" s="184">
        <v>0</v>
      </c>
      <c r="Z581" s="184">
        <v>0</v>
      </c>
      <c r="AA581" s="184">
        <v>0</v>
      </c>
      <c r="AB581" s="184">
        <v>0</v>
      </c>
      <c r="AC581" s="185">
        <v>40.700000000000003</v>
      </c>
      <c r="AD581" s="185" t="s">
        <v>24</v>
      </c>
      <c r="AE581" s="184">
        <v>0</v>
      </c>
      <c r="AF581" s="185">
        <v>0</v>
      </c>
      <c r="AG581" s="184">
        <v>0</v>
      </c>
      <c r="AH581" s="185">
        <v>0</v>
      </c>
      <c r="AI581" s="184">
        <v>0</v>
      </c>
      <c r="AJ581" s="643">
        <v>0</v>
      </c>
    </row>
    <row r="582" spans="1:36" x14ac:dyDescent="0.2">
      <c r="A582" s="440" t="s">
        <v>51</v>
      </c>
      <c r="B582" s="642">
        <v>3</v>
      </c>
      <c r="C582" s="184">
        <v>0</v>
      </c>
      <c r="D582" s="184">
        <v>2</v>
      </c>
      <c r="E582" s="184">
        <v>0</v>
      </c>
      <c r="F582" s="184">
        <v>1</v>
      </c>
      <c r="G582" s="184">
        <v>0</v>
      </c>
      <c r="H582" s="184">
        <v>0</v>
      </c>
      <c r="I582" s="184">
        <v>0</v>
      </c>
      <c r="J582" s="184">
        <v>0</v>
      </c>
      <c r="K582" s="184">
        <v>0</v>
      </c>
      <c r="L582" s="184">
        <v>0</v>
      </c>
      <c r="M582" s="654" t="s">
        <v>24</v>
      </c>
      <c r="N582" s="670" t="s">
        <v>51</v>
      </c>
      <c r="O582" s="642">
        <v>0</v>
      </c>
      <c r="P582" s="184">
        <v>0</v>
      </c>
      <c r="Q582" s="184">
        <v>0</v>
      </c>
      <c r="R582" s="184">
        <v>0</v>
      </c>
      <c r="S582" s="184">
        <v>0</v>
      </c>
      <c r="T582" s="184">
        <v>0</v>
      </c>
      <c r="U582" s="184">
        <v>0</v>
      </c>
      <c r="V582" s="184">
        <v>2</v>
      </c>
      <c r="W582" s="184">
        <v>1</v>
      </c>
      <c r="X582" s="184">
        <v>0</v>
      </c>
      <c r="Y582" s="184">
        <v>0</v>
      </c>
      <c r="Z582" s="184">
        <v>0</v>
      </c>
      <c r="AA582" s="184">
        <v>0</v>
      </c>
      <c r="AB582" s="184">
        <v>0</v>
      </c>
      <c r="AC582" s="185">
        <v>42.9</v>
      </c>
      <c r="AD582" s="185" t="s">
        <v>24</v>
      </c>
      <c r="AE582" s="184">
        <v>0</v>
      </c>
      <c r="AF582" s="185">
        <v>0</v>
      </c>
      <c r="AG582" s="184">
        <v>0</v>
      </c>
      <c r="AH582" s="185">
        <v>0</v>
      </c>
      <c r="AI582" s="184">
        <v>0</v>
      </c>
      <c r="AJ582" s="643">
        <v>0</v>
      </c>
    </row>
    <row r="583" spans="1:36" x14ac:dyDescent="0.2">
      <c r="A583" s="440" t="s">
        <v>85</v>
      </c>
      <c r="B583" s="642">
        <v>7</v>
      </c>
      <c r="C583" s="184">
        <v>0</v>
      </c>
      <c r="D583" s="184">
        <v>7</v>
      </c>
      <c r="E583" s="184">
        <v>0</v>
      </c>
      <c r="F583" s="184">
        <v>0</v>
      </c>
      <c r="G583" s="184">
        <v>0</v>
      </c>
      <c r="H583" s="184">
        <v>0</v>
      </c>
      <c r="I583" s="184">
        <v>0</v>
      </c>
      <c r="J583" s="184">
        <v>0</v>
      </c>
      <c r="K583" s="184">
        <v>0</v>
      </c>
      <c r="L583" s="184">
        <v>0</v>
      </c>
      <c r="M583" s="654" t="s">
        <v>24</v>
      </c>
      <c r="N583" s="670" t="s">
        <v>85</v>
      </c>
      <c r="O583" s="642">
        <v>0</v>
      </c>
      <c r="P583" s="184">
        <v>0</v>
      </c>
      <c r="Q583" s="184">
        <v>0</v>
      </c>
      <c r="R583" s="184">
        <v>0</v>
      </c>
      <c r="S583" s="184">
        <v>0</v>
      </c>
      <c r="T583" s="184">
        <v>2</v>
      </c>
      <c r="U583" s="184">
        <v>0</v>
      </c>
      <c r="V583" s="184">
        <v>3</v>
      </c>
      <c r="W583" s="184">
        <v>2</v>
      </c>
      <c r="X583" s="184">
        <v>0</v>
      </c>
      <c r="Y583" s="184">
        <v>0</v>
      </c>
      <c r="Z583" s="184">
        <v>0</v>
      </c>
      <c r="AA583" s="184">
        <v>0</v>
      </c>
      <c r="AB583" s="184">
        <v>0</v>
      </c>
      <c r="AC583" s="185">
        <v>41.4</v>
      </c>
      <c r="AD583" s="185" t="s">
        <v>24</v>
      </c>
      <c r="AE583" s="184">
        <v>0</v>
      </c>
      <c r="AF583" s="185">
        <v>0</v>
      </c>
      <c r="AG583" s="184">
        <v>0</v>
      </c>
      <c r="AH583" s="185">
        <v>0</v>
      </c>
      <c r="AI583" s="184">
        <v>0</v>
      </c>
      <c r="AJ583" s="643">
        <v>0</v>
      </c>
    </row>
    <row r="584" spans="1:36" x14ac:dyDescent="0.2">
      <c r="A584" s="440" t="s">
        <v>86</v>
      </c>
      <c r="B584" s="642">
        <v>8</v>
      </c>
      <c r="C584" s="184">
        <v>1</v>
      </c>
      <c r="D584" s="184">
        <v>7</v>
      </c>
      <c r="E584" s="184">
        <v>0</v>
      </c>
      <c r="F584" s="184">
        <v>0</v>
      </c>
      <c r="G584" s="184">
        <v>0</v>
      </c>
      <c r="H584" s="184">
        <v>0</v>
      </c>
      <c r="I584" s="184">
        <v>0</v>
      </c>
      <c r="J584" s="184">
        <v>0</v>
      </c>
      <c r="K584" s="184">
        <v>0</v>
      </c>
      <c r="L584" s="184">
        <v>0</v>
      </c>
      <c r="M584" s="654" t="s">
        <v>24</v>
      </c>
      <c r="N584" s="670" t="s">
        <v>86</v>
      </c>
      <c r="O584" s="642">
        <v>0</v>
      </c>
      <c r="P584" s="184">
        <v>1</v>
      </c>
      <c r="Q584" s="184">
        <v>0</v>
      </c>
      <c r="R584" s="184">
        <v>0</v>
      </c>
      <c r="S584" s="184">
        <v>2</v>
      </c>
      <c r="T584" s="184">
        <v>1</v>
      </c>
      <c r="U584" s="184">
        <v>2</v>
      </c>
      <c r="V584" s="184">
        <v>1</v>
      </c>
      <c r="W584" s="184">
        <v>1</v>
      </c>
      <c r="X584" s="184">
        <v>0</v>
      </c>
      <c r="Y584" s="184">
        <v>0</v>
      </c>
      <c r="Z584" s="184">
        <v>0</v>
      </c>
      <c r="AA584" s="184">
        <v>0</v>
      </c>
      <c r="AB584" s="184">
        <v>0</v>
      </c>
      <c r="AC584" s="185">
        <v>33.4</v>
      </c>
      <c r="AD584" s="185" t="s">
        <v>24</v>
      </c>
      <c r="AE584" s="184">
        <v>0</v>
      </c>
      <c r="AF584" s="185">
        <v>0</v>
      </c>
      <c r="AG584" s="184">
        <v>0</v>
      </c>
      <c r="AH584" s="185">
        <v>0</v>
      </c>
      <c r="AI584" s="184">
        <v>0</v>
      </c>
      <c r="AJ584" s="643">
        <v>0</v>
      </c>
    </row>
    <row r="585" spans="1:36" x14ac:dyDescent="0.2">
      <c r="A585" s="440" t="s">
        <v>87</v>
      </c>
      <c r="B585" s="642">
        <v>5</v>
      </c>
      <c r="C585" s="184">
        <v>1</v>
      </c>
      <c r="D585" s="184">
        <v>4</v>
      </c>
      <c r="E585" s="184">
        <v>0</v>
      </c>
      <c r="F585" s="184">
        <v>0</v>
      </c>
      <c r="G585" s="184">
        <v>0</v>
      </c>
      <c r="H585" s="184">
        <v>0</v>
      </c>
      <c r="I585" s="184">
        <v>0</v>
      </c>
      <c r="J585" s="184">
        <v>0</v>
      </c>
      <c r="K585" s="184">
        <v>0</v>
      </c>
      <c r="L585" s="184">
        <v>0</v>
      </c>
      <c r="M585" s="654" t="s">
        <v>24</v>
      </c>
      <c r="N585" s="670" t="s">
        <v>87</v>
      </c>
      <c r="O585" s="642">
        <v>0</v>
      </c>
      <c r="P585" s="184">
        <v>1</v>
      </c>
      <c r="Q585" s="184">
        <v>0</v>
      </c>
      <c r="R585" s="184">
        <v>0</v>
      </c>
      <c r="S585" s="184">
        <v>0</v>
      </c>
      <c r="T585" s="184">
        <v>0</v>
      </c>
      <c r="U585" s="184">
        <v>4</v>
      </c>
      <c r="V585" s="184">
        <v>0</v>
      </c>
      <c r="W585" s="184">
        <v>0</v>
      </c>
      <c r="X585" s="184">
        <v>0</v>
      </c>
      <c r="Y585" s="184">
        <v>0</v>
      </c>
      <c r="Z585" s="184">
        <v>0</v>
      </c>
      <c r="AA585" s="184">
        <v>0</v>
      </c>
      <c r="AB585" s="184">
        <v>0</v>
      </c>
      <c r="AC585" s="185">
        <v>32.6</v>
      </c>
      <c r="AD585" s="185" t="s">
        <v>24</v>
      </c>
      <c r="AE585" s="184">
        <v>0</v>
      </c>
      <c r="AF585" s="185">
        <v>0</v>
      </c>
      <c r="AG585" s="184">
        <v>0</v>
      </c>
      <c r="AH585" s="185">
        <v>0</v>
      </c>
      <c r="AI585" s="184">
        <v>0</v>
      </c>
      <c r="AJ585" s="643">
        <v>0</v>
      </c>
    </row>
    <row r="586" spans="1:36" x14ac:dyDescent="0.2">
      <c r="A586" s="440" t="s">
        <v>53</v>
      </c>
      <c r="B586" s="646">
        <v>6</v>
      </c>
      <c r="C586" s="186">
        <v>0</v>
      </c>
      <c r="D586" s="186">
        <v>6</v>
      </c>
      <c r="E586" s="186">
        <v>0</v>
      </c>
      <c r="F586" s="186">
        <v>0</v>
      </c>
      <c r="G586" s="186">
        <v>0</v>
      </c>
      <c r="H586" s="186">
        <v>0</v>
      </c>
      <c r="I586" s="186">
        <v>0</v>
      </c>
      <c r="J586" s="186">
        <v>0</v>
      </c>
      <c r="K586" s="186">
        <v>0</v>
      </c>
      <c r="L586" s="186">
        <v>0</v>
      </c>
      <c r="M586" s="656" t="s">
        <v>24</v>
      </c>
      <c r="N586" s="670" t="s">
        <v>53</v>
      </c>
      <c r="O586" s="646">
        <v>0</v>
      </c>
      <c r="P586" s="186">
        <v>0</v>
      </c>
      <c r="Q586" s="186">
        <v>0</v>
      </c>
      <c r="R586" s="186">
        <v>0</v>
      </c>
      <c r="S586" s="186">
        <v>0</v>
      </c>
      <c r="T586" s="186">
        <v>0</v>
      </c>
      <c r="U586" s="186">
        <v>2</v>
      </c>
      <c r="V586" s="186">
        <v>1</v>
      </c>
      <c r="W586" s="186">
        <v>1</v>
      </c>
      <c r="X586" s="186">
        <v>2</v>
      </c>
      <c r="Y586" s="186">
        <v>0</v>
      </c>
      <c r="Z586" s="186">
        <v>0</v>
      </c>
      <c r="AA586" s="186">
        <v>0</v>
      </c>
      <c r="AB586" s="186">
        <v>0</v>
      </c>
      <c r="AC586" s="187">
        <v>45.1</v>
      </c>
      <c r="AD586" s="187" t="s">
        <v>24</v>
      </c>
      <c r="AE586" s="186">
        <v>0</v>
      </c>
      <c r="AF586" s="187">
        <v>0</v>
      </c>
      <c r="AG586" s="186">
        <v>0</v>
      </c>
      <c r="AH586" s="187">
        <v>0</v>
      </c>
      <c r="AI586" s="186">
        <v>0</v>
      </c>
      <c r="AJ586" s="647">
        <v>0</v>
      </c>
    </row>
    <row r="587" spans="1:36" x14ac:dyDescent="0.2">
      <c r="A587" s="440" t="s">
        <v>88</v>
      </c>
      <c r="B587" s="642">
        <v>8</v>
      </c>
      <c r="C587" s="184">
        <v>2</v>
      </c>
      <c r="D587" s="184">
        <v>5</v>
      </c>
      <c r="E587" s="184">
        <v>1</v>
      </c>
      <c r="F587" s="184">
        <v>0</v>
      </c>
      <c r="G587" s="184">
        <v>0</v>
      </c>
      <c r="H587" s="184">
        <v>0</v>
      </c>
      <c r="I587" s="184">
        <v>0</v>
      </c>
      <c r="J587" s="184">
        <v>0</v>
      </c>
      <c r="K587" s="184">
        <v>0</v>
      </c>
      <c r="L587" s="184">
        <v>0</v>
      </c>
      <c r="M587" s="654" t="s">
        <v>24</v>
      </c>
      <c r="N587" s="670" t="s">
        <v>88</v>
      </c>
      <c r="O587" s="642">
        <v>1</v>
      </c>
      <c r="P587" s="184">
        <v>1</v>
      </c>
      <c r="Q587" s="184">
        <v>0</v>
      </c>
      <c r="R587" s="184">
        <v>0</v>
      </c>
      <c r="S587" s="184">
        <v>0</v>
      </c>
      <c r="T587" s="184">
        <v>2</v>
      </c>
      <c r="U587" s="184">
        <v>1</v>
      </c>
      <c r="V587" s="184">
        <v>2</v>
      </c>
      <c r="W587" s="184">
        <v>0</v>
      </c>
      <c r="X587" s="184">
        <v>1</v>
      </c>
      <c r="Y587" s="184">
        <v>0</v>
      </c>
      <c r="Z587" s="184">
        <v>0</v>
      </c>
      <c r="AA587" s="184">
        <v>0</v>
      </c>
      <c r="AB587" s="184">
        <v>0</v>
      </c>
      <c r="AC587" s="185">
        <v>32.200000000000003</v>
      </c>
      <c r="AD587" s="185" t="s">
        <v>24</v>
      </c>
      <c r="AE587" s="184">
        <v>0</v>
      </c>
      <c r="AF587" s="185">
        <v>0</v>
      </c>
      <c r="AG587" s="184">
        <v>0</v>
      </c>
      <c r="AH587" s="185">
        <v>0</v>
      </c>
      <c r="AI587" s="184">
        <v>0</v>
      </c>
      <c r="AJ587" s="643">
        <v>0</v>
      </c>
    </row>
    <row r="588" spans="1:36" x14ac:dyDescent="0.2">
      <c r="A588" s="440" t="s">
        <v>89</v>
      </c>
      <c r="B588" s="642">
        <v>9</v>
      </c>
      <c r="C588" s="184">
        <v>0</v>
      </c>
      <c r="D588" s="184">
        <v>9</v>
      </c>
      <c r="E588" s="184">
        <v>0</v>
      </c>
      <c r="F588" s="184">
        <v>0</v>
      </c>
      <c r="G588" s="184">
        <v>0</v>
      </c>
      <c r="H588" s="184">
        <v>0</v>
      </c>
      <c r="I588" s="184">
        <v>0</v>
      </c>
      <c r="J588" s="184">
        <v>0</v>
      </c>
      <c r="K588" s="184">
        <v>0</v>
      </c>
      <c r="L588" s="184">
        <v>0</v>
      </c>
      <c r="M588" s="654" t="s">
        <v>24</v>
      </c>
      <c r="N588" s="670" t="s">
        <v>89</v>
      </c>
      <c r="O588" s="642">
        <v>0</v>
      </c>
      <c r="P588" s="184">
        <v>0</v>
      </c>
      <c r="Q588" s="184">
        <v>0</v>
      </c>
      <c r="R588" s="184">
        <v>0</v>
      </c>
      <c r="S588" s="184">
        <v>0</v>
      </c>
      <c r="T588" s="184">
        <v>1</v>
      </c>
      <c r="U588" s="184">
        <v>4</v>
      </c>
      <c r="V588" s="184">
        <v>0</v>
      </c>
      <c r="W588" s="184">
        <v>3</v>
      </c>
      <c r="X588" s="184">
        <v>1</v>
      </c>
      <c r="Y588" s="184">
        <v>0</v>
      </c>
      <c r="Z588" s="184">
        <v>0</v>
      </c>
      <c r="AA588" s="184">
        <v>0</v>
      </c>
      <c r="AB588" s="184">
        <v>0</v>
      </c>
      <c r="AC588" s="185">
        <v>41.4</v>
      </c>
      <c r="AD588" s="185" t="s">
        <v>24</v>
      </c>
      <c r="AE588" s="184">
        <v>0</v>
      </c>
      <c r="AF588" s="185">
        <v>0</v>
      </c>
      <c r="AG588" s="184">
        <v>0</v>
      </c>
      <c r="AH588" s="185">
        <v>0</v>
      </c>
      <c r="AI588" s="184">
        <v>0</v>
      </c>
      <c r="AJ588" s="643">
        <v>0</v>
      </c>
    </row>
    <row r="589" spans="1:36" x14ac:dyDescent="0.2">
      <c r="A589" s="440" t="s">
        <v>90</v>
      </c>
      <c r="B589" s="642">
        <v>14</v>
      </c>
      <c r="C589" s="184">
        <v>1</v>
      </c>
      <c r="D589" s="184">
        <v>13</v>
      </c>
      <c r="E589" s="184">
        <v>0</v>
      </c>
      <c r="F589" s="184">
        <v>0</v>
      </c>
      <c r="G589" s="184">
        <v>0</v>
      </c>
      <c r="H589" s="184">
        <v>0</v>
      </c>
      <c r="I589" s="184">
        <v>0</v>
      </c>
      <c r="J589" s="184">
        <v>0</v>
      </c>
      <c r="K589" s="184">
        <v>0</v>
      </c>
      <c r="L589" s="184">
        <v>0</v>
      </c>
      <c r="M589" s="654" t="s">
        <v>24</v>
      </c>
      <c r="N589" s="670" t="s">
        <v>90</v>
      </c>
      <c r="O589" s="642">
        <v>0</v>
      </c>
      <c r="P589" s="184">
        <v>0</v>
      </c>
      <c r="Q589" s="184">
        <v>1</v>
      </c>
      <c r="R589" s="184">
        <v>1</v>
      </c>
      <c r="S589" s="184">
        <v>0</v>
      </c>
      <c r="T589" s="184">
        <v>2</v>
      </c>
      <c r="U589" s="184">
        <v>2</v>
      </c>
      <c r="V589" s="184">
        <v>3</v>
      </c>
      <c r="W589" s="184">
        <v>3</v>
      </c>
      <c r="X589" s="184">
        <v>2</v>
      </c>
      <c r="Y589" s="184">
        <v>0</v>
      </c>
      <c r="Z589" s="184">
        <v>0</v>
      </c>
      <c r="AA589" s="184">
        <v>0</v>
      </c>
      <c r="AB589" s="184">
        <v>0</v>
      </c>
      <c r="AC589" s="185">
        <v>39.4</v>
      </c>
      <c r="AD589" s="185">
        <v>49.3</v>
      </c>
      <c r="AE589" s="184">
        <v>0</v>
      </c>
      <c r="AF589" s="185">
        <v>0</v>
      </c>
      <c r="AG589" s="184">
        <v>0</v>
      </c>
      <c r="AH589" s="185">
        <v>0</v>
      </c>
      <c r="AI589" s="184">
        <v>0</v>
      </c>
      <c r="AJ589" s="643">
        <v>0</v>
      </c>
    </row>
    <row r="590" spans="1:36" x14ac:dyDescent="0.2">
      <c r="A590" s="440" t="s">
        <v>55</v>
      </c>
      <c r="B590" s="642">
        <v>4</v>
      </c>
      <c r="C590" s="184">
        <v>0</v>
      </c>
      <c r="D590" s="184">
        <v>4</v>
      </c>
      <c r="E590" s="184">
        <v>0</v>
      </c>
      <c r="F590" s="184">
        <v>0</v>
      </c>
      <c r="G590" s="184">
        <v>0</v>
      </c>
      <c r="H590" s="184">
        <v>0</v>
      </c>
      <c r="I590" s="184">
        <v>0</v>
      </c>
      <c r="J590" s="184">
        <v>0</v>
      </c>
      <c r="K590" s="184">
        <v>0</v>
      </c>
      <c r="L590" s="184">
        <v>0</v>
      </c>
      <c r="M590" s="654" t="s">
        <v>24</v>
      </c>
      <c r="N590" s="670" t="s">
        <v>55</v>
      </c>
      <c r="O590" s="642">
        <v>0</v>
      </c>
      <c r="P590" s="184">
        <v>0</v>
      </c>
      <c r="Q590" s="184">
        <v>0</v>
      </c>
      <c r="R590" s="184">
        <v>0</v>
      </c>
      <c r="S590" s="184">
        <v>0</v>
      </c>
      <c r="T590" s="184">
        <v>0</v>
      </c>
      <c r="U590" s="184">
        <v>3</v>
      </c>
      <c r="V590" s="184">
        <v>1</v>
      </c>
      <c r="W590" s="184">
        <v>0</v>
      </c>
      <c r="X590" s="184">
        <v>0</v>
      </c>
      <c r="Y590" s="184">
        <v>0</v>
      </c>
      <c r="Z590" s="184">
        <v>0</v>
      </c>
      <c r="AA590" s="184">
        <v>0</v>
      </c>
      <c r="AB590" s="184">
        <v>0</v>
      </c>
      <c r="AC590" s="185">
        <v>39.700000000000003</v>
      </c>
      <c r="AD590" s="185" t="s">
        <v>24</v>
      </c>
      <c r="AE590" s="184">
        <v>0</v>
      </c>
      <c r="AF590" s="185">
        <v>0</v>
      </c>
      <c r="AG590" s="184">
        <v>0</v>
      </c>
      <c r="AH590" s="185">
        <v>0</v>
      </c>
      <c r="AI590" s="184">
        <v>0</v>
      </c>
      <c r="AJ590" s="643">
        <v>0</v>
      </c>
    </row>
    <row r="591" spans="1:36" x14ac:dyDescent="0.2">
      <c r="A591" s="440" t="s">
        <v>91</v>
      </c>
      <c r="B591" s="642">
        <v>8</v>
      </c>
      <c r="C591" s="184">
        <v>0</v>
      </c>
      <c r="D591" s="184">
        <v>8</v>
      </c>
      <c r="E591" s="184">
        <v>0</v>
      </c>
      <c r="F591" s="184">
        <v>0</v>
      </c>
      <c r="G591" s="184">
        <v>0</v>
      </c>
      <c r="H591" s="184">
        <v>0</v>
      </c>
      <c r="I591" s="184">
        <v>0</v>
      </c>
      <c r="J591" s="184">
        <v>0</v>
      </c>
      <c r="K591" s="184">
        <v>0</v>
      </c>
      <c r="L591" s="184">
        <v>0</v>
      </c>
      <c r="M591" s="654" t="s">
        <v>24</v>
      </c>
      <c r="N591" s="670" t="s">
        <v>91</v>
      </c>
      <c r="O591" s="642">
        <v>0</v>
      </c>
      <c r="P591" s="184">
        <v>0</v>
      </c>
      <c r="Q591" s="184">
        <v>0</v>
      </c>
      <c r="R591" s="184">
        <v>0</v>
      </c>
      <c r="S591" s="184">
        <v>1</v>
      </c>
      <c r="T591" s="184">
        <v>2</v>
      </c>
      <c r="U591" s="184">
        <v>0</v>
      </c>
      <c r="V591" s="184">
        <v>2</v>
      </c>
      <c r="W591" s="184">
        <v>1</v>
      </c>
      <c r="X591" s="184">
        <v>2</v>
      </c>
      <c r="Y591" s="184">
        <v>0</v>
      </c>
      <c r="Z591" s="184">
        <v>0</v>
      </c>
      <c r="AA591" s="184">
        <v>0</v>
      </c>
      <c r="AB591" s="184">
        <v>0</v>
      </c>
      <c r="AC591" s="185">
        <v>41.6</v>
      </c>
      <c r="AD591" s="185" t="s">
        <v>24</v>
      </c>
      <c r="AE591" s="184">
        <v>0</v>
      </c>
      <c r="AF591" s="185">
        <v>0</v>
      </c>
      <c r="AG591" s="184">
        <v>0</v>
      </c>
      <c r="AH591" s="185">
        <v>0</v>
      </c>
      <c r="AI591" s="184">
        <v>0</v>
      </c>
      <c r="AJ591" s="643">
        <v>0</v>
      </c>
    </row>
    <row r="592" spans="1:36" x14ac:dyDescent="0.2">
      <c r="A592" s="440" t="s">
        <v>92</v>
      </c>
      <c r="B592" s="642">
        <v>15</v>
      </c>
      <c r="C592" s="184">
        <v>1</v>
      </c>
      <c r="D592" s="184">
        <v>13</v>
      </c>
      <c r="E592" s="184">
        <v>0</v>
      </c>
      <c r="F592" s="184">
        <v>1</v>
      </c>
      <c r="G592" s="184">
        <v>0</v>
      </c>
      <c r="H592" s="184">
        <v>0</v>
      </c>
      <c r="I592" s="184">
        <v>0</v>
      </c>
      <c r="J592" s="184">
        <v>0</v>
      </c>
      <c r="K592" s="184">
        <v>0</v>
      </c>
      <c r="L592" s="184">
        <v>0</v>
      </c>
      <c r="M592" s="654" t="s">
        <v>24</v>
      </c>
      <c r="N592" s="670" t="s">
        <v>92</v>
      </c>
      <c r="O592" s="642">
        <v>0</v>
      </c>
      <c r="P592" s="184">
        <v>1</v>
      </c>
      <c r="Q592" s="184">
        <v>1</v>
      </c>
      <c r="R592" s="184">
        <v>0</v>
      </c>
      <c r="S592" s="184">
        <v>0</v>
      </c>
      <c r="T592" s="184">
        <v>2</v>
      </c>
      <c r="U592" s="184">
        <v>1</v>
      </c>
      <c r="V592" s="184">
        <v>7</v>
      </c>
      <c r="W592" s="184">
        <v>2</v>
      </c>
      <c r="X592" s="184">
        <v>1</v>
      </c>
      <c r="Y592" s="184">
        <v>0</v>
      </c>
      <c r="Z592" s="184">
        <v>0</v>
      </c>
      <c r="AA592" s="184">
        <v>0</v>
      </c>
      <c r="AB592" s="184">
        <v>0</v>
      </c>
      <c r="AC592" s="185">
        <v>38.4</v>
      </c>
      <c r="AD592" s="185">
        <v>46.3</v>
      </c>
      <c r="AE592" s="184">
        <v>0</v>
      </c>
      <c r="AF592" s="185">
        <v>0</v>
      </c>
      <c r="AG592" s="184">
        <v>0</v>
      </c>
      <c r="AH592" s="185">
        <v>0</v>
      </c>
      <c r="AI592" s="184">
        <v>0</v>
      </c>
      <c r="AJ592" s="643">
        <v>0</v>
      </c>
    </row>
    <row r="593" spans="1:36" x14ac:dyDescent="0.2">
      <c r="A593" s="440" t="s">
        <v>93</v>
      </c>
      <c r="B593" s="642">
        <v>14</v>
      </c>
      <c r="C593" s="184">
        <v>0</v>
      </c>
      <c r="D593" s="184">
        <v>14</v>
      </c>
      <c r="E593" s="184">
        <v>0</v>
      </c>
      <c r="F593" s="184">
        <v>0</v>
      </c>
      <c r="G593" s="184">
        <v>0</v>
      </c>
      <c r="H593" s="184">
        <v>0</v>
      </c>
      <c r="I593" s="184">
        <v>0</v>
      </c>
      <c r="J593" s="184">
        <v>0</v>
      </c>
      <c r="K593" s="184">
        <v>0</v>
      </c>
      <c r="L593" s="184">
        <v>0</v>
      </c>
      <c r="M593" s="654" t="s">
        <v>24</v>
      </c>
      <c r="N593" s="670" t="s">
        <v>93</v>
      </c>
      <c r="O593" s="642">
        <v>0</v>
      </c>
      <c r="P593" s="184">
        <v>0</v>
      </c>
      <c r="Q593" s="184">
        <v>0</v>
      </c>
      <c r="R593" s="184">
        <v>0</v>
      </c>
      <c r="S593" s="184">
        <v>4</v>
      </c>
      <c r="T593" s="184">
        <v>6</v>
      </c>
      <c r="U593" s="184">
        <v>0</v>
      </c>
      <c r="V593" s="184">
        <v>1</v>
      </c>
      <c r="W593" s="184">
        <v>1</v>
      </c>
      <c r="X593" s="184">
        <v>2</v>
      </c>
      <c r="Y593" s="184">
        <v>0</v>
      </c>
      <c r="Z593" s="184">
        <v>0</v>
      </c>
      <c r="AA593" s="184">
        <v>0</v>
      </c>
      <c r="AB593" s="184">
        <v>0</v>
      </c>
      <c r="AC593" s="185">
        <v>35.700000000000003</v>
      </c>
      <c r="AD593" s="185">
        <v>49.9</v>
      </c>
      <c r="AE593" s="184">
        <v>0</v>
      </c>
      <c r="AF593" s="185">
        <v>0</v>
      </c>
      <c r="AG593" s="184">
        <v>0</v>
      </c>
      <c r="AH593" s="185">
        <v>0</v>
      </c>
      <c r="AI593" s="184">
        <v>0</v>
      </c>
      <c r="AJ593" s="643">
        <v>0</v>
      </c>
    </row>
    <row r="594" spans="1:36" x14ac:dyDescent="0.2">
      <c r="A594" s="440" t="s">
        <v>57</v>
      </c>
      <c r="B594" s="642">
        <v>11</v>
      </c>
      <c r="C594" s="184">
        <v>0</v>
      </c>
      <c r="D594" s="184">
        <v>11</v>
      </c>
      <c r="E594" s="184">
        <v>0</v>
      </c>
      <c r="F594" s="184">
        <v>0</v>
      </c>
      <c r="G594" s="184">
        <v>0</v>
      </c>
      <c r="H594" s="184">
        <v>0</v>
      </c>
      <c r="I594" s="184">
        <v>0</v>
      </c>
      <c r="J594" s="184">
        <v>0</v>
      </c>
      <c r="K594" s="184">
        <v>0</v>
      </c>
      <c r="L594" s="184">
        <v>0</v>
      </c>
      <c r="M594" s="654" t="s">
        <v>24</v>
      </c>
      <c r="N594" s="670" t="s">
        <v>57</v>
      </c>
      <c r="O594" s="642">
        <v>0</v>
      </c>
      <c r="P594" s="184">
        <v>0</v>
      </c>
      <c r="Q594" s="184">
        <v>0</v>
      </c>
      <c r="R594" s="184">
        <v>0</v>
      </c>
      <c r="S594" s="184">
        <v>0</v>
      </c>
      <c r="T594" s="184">
        <v>4</v>
      </c>
      <c r="U594" s="184">
        <v>5</v>
      </c>
      <c r="V594" s="184">
        <v>1</v>
      </c>
      <c r="W594" s="184">
        <v>1</v>
      </c>
      <c r="X594" s="184">
        <v>0</v>
      </c>
      <c r="Y594" s="184">
        <v>0</v>
      </c>
      <c r="Z594" s="184">
        <v>0</v>
      </c>
      <c r="AA594" s="184">
        <v>0</v>
      </c>
      <c r="AB594" s="184">
        <v>0</v>
      </c>
      <c r="AC594" s="185">
        <v>36.9</v>
      </c>
      <c r="AD594" s="185">
        <v>41.9</v>
      </c>
      <c r="AE594" s="184">
        <v>0</v>
      </c>
      <c r="AF594" s="185">
        <v>0</v>
      </c>
      <c r="AG594" s="184">
        <v>0</v>
      </c>
      <c r="AH594" s="185">
        <v>0</v>
      </c>
      <c r="AI594" s="184">
        <v>0</v>
      </c>
      <c r="AJ594" s="643">
        <v>0</v>
      </c>
    </row>
    <row r="595" spans="1:36" x14ac:dyDescent="0.2">
      <c r="A595" s="440" t="s">
        <v>94</v>
      </c>
      <c r="B595" s="642">
        <v>8</v>
      </c>
      <c r="C595" s="184">
        <v>0</v>
      </c>
      <c r="D595" s="184">
        <v>8</v>
      </c>
      <c r="E595" s="184">
        <v>0</v>
      </c>
      <c r="F595" s="184">
        <v>0</v>
      </c>
      <c r="G595" s="184">
        <v>0</v>
      </c>
      <c r="H595" s="184">
        <v>0</v>
      </c>
      <c r="I595" s="184">
        <v>0</v>
      </c>
      <c r="J595" s="184">
        <v>0</v>
      </c>
      <c r="K595" s="184">
        <v>0</v>
      </c>
      <c r="L595" s="184">
        <v>0</v>
      </c>
      <c r="M595" s="654" t="s">
        <v>24</v>
      </c>
      <c r="N595" s="670" t="s">
        <v>94</v>
      </c>
      <c r="O595" s="642">
        <v>0</v>
      </c>
      <c r="P595" s="184">
        <v>0</v>
      </c>
      <c r="Q595" s="184">
        <v>0</v>
      </c>
      <c r="R595" s="184">
        <v>0</v>
      </c>
      <c r="S595" s="184">
        <v>1</v>
      </c>
      <c r="T595" s="184">
        <v>2</v>
      </c>
      <c r="U595" s="184">
        <v>4</v>
      </c>
      <c r="V595" s="184">
        <v>0</v>
      </c>
      <c r="W595" s="184">
        <v>1</v>
      </c>
      <c r="X595" s="184">
        <v>0</v>
      </c>
      <c r="Y595" s="184">
        <v>0</v>
      </c>
      <c r="Z595" s="184">
        <v>0</v>
      </c>
      <c r="AA595" s="184">
        <v>0</v>
      </c>
      <c r="AB595" s="184">
        <v>0</v>
      </c>
      <c r="AC595" s="185">
        <v>37.700000000000003</v>
      </c>
      <c r="AD595" s="185" t="s">
        <v>24</v>
      </c>
      <c r="AE595" s="184">
        <v>0</v>
      </c>
      <c r="AF595" s="185">
        <v>0</v>
      </c>
      <c r="AG595" s="184">
        <v>0</v>
      </c>
      <c r="AH595" s="185">
        <v>0</v>
      </c>
      <c r="AI595" s="184">
        <v>0</v>
      </c>
      <c r="AJ595" s="643">
        <v>0</v>
      </c>
    </row>
    <row r="596" spans="1:36" x14ac:dyDescent="0.2">
      <c r="A596" s="440" t="s">
        <v>95</v>
      </c>
      <c r="B596" s="642">
        <v>10</v>
      </c>
      <c r="C596" s="184">
        <v>0</v>
      </c>
      <c r="D596" s="184">
        <v>10</v>
      </c>
      <c r="E596" s="184">
        <v>0</v>
      </c>
      <c r="F596" s="184">
        <v>0</v>
      </c>
      <c r="G596" s="184">
        <v>0</v>
      </c>
      <c r="H596" s="184">
        <v>0</v>
      </c>
      <c r="I596" s="184">
        <v>0</v>
      </c>
      <c r="J596" s="184">
        <v>0</v>
      </c>
      <c r="K596" s="184">
        <v>0</v>
      </c>
      <c r="L596" s="184">
        <v>0</v>
      </c>
      <c r="M596" s="654" t="s">
        <v>24</v>
      </c>
      <c r="N596" s="670" t="s">
        <v>95</v>
      </c>
      <c r="O596" s="642">
        <v>0</v>
      </c>
      <c r="P596" s="184">
        <v>0</v>
      </c>
      <c r="Q596" s="184">
        <v>0</v>
      </c>
      <c r="R596" s="184">
        <v>0</v>
      </c>
      <c r="S596" s="184">
        <v>0</v>
      </c>
      <c r="T596" s="184">
        <v>2</v>
      </c>
      <c r="U596" s="184">
        <v>4</v>
      </c>
      <c r="V596" s="184">
        <v>2</v>
      </c>
      <c r="W596" s="184">
        <v>1</v>
      </c>
      <c r="X596" s="184">
        <v>1</v>
      </c>
      <c r="Y596" s="184">
        <v>0</v>
      </c>
      <c r="Z596" s="184">
        <v>0</v>
      </c>
      <c r="AA596" s="184">
        <v>0</v>
      </c>
      <c r="AB596" s="184">
        <v>0</v>
      </c>
      <c r="AC596" s="185">
        <v>39.5</v>
      </c>
      <c r="AD596" s="185" t="s">
        <v>24</v>
      </c>
      <c r="AE596" s="184">
        <v>0</v>
      </c>
      <c r="AF596" s="185">
        <v>0</v>
      </c>
      <c r="AG596" s="184">
        <v>0</v>
      </c>
      <c r="AH596" s="185">
        <v>0</v>
      </c>
      <c r="AI596" s="184">
        <v>0</v>
      </c>
      <c r="AJ596" s="643">
        <v>0</v>
      </c>
    </row>
    <row r="597" spans="1:36" x14ac:dyDescent="0.2">
      <c r="A597" s="440" t="s">
        <v>96</v>
      </c>
      <c r="B597" s="642">
        <v>8</v>
      </c>
      <c r="C597" s="184">
        <v>2</v>
      </c>
      <c r="D597" s="184">
        <v>6</v>
      </c>
      <c r="E597" s="184">
        <v>0</v>
      </c>
      <c r="F597" s="184">
        <v>0</v>
      </c>
      <c r="G597" s="184">
        <v>0</v>
      </c>
      <c r="H597" s="184">
        <v>0</v>
      </c>
      <c r="I597" s="184">
        <v>0</v>
      </c>
      <c r="J597" s="184">
        <v>0</v>
      </c>
      <c r="K597" s="184">
        <v>0</v>
      </c>
      <c r="L597" s="184">
        <v>0</v>
      </c>
      <c r="M597" s="654" t="s">
        <v>24</v>
      </c>
      <c r="N597" s="670" t="s">
        <v>96</v>
      </c>
      <c r="O597" s="642">
        <v>0</v>
      </c>
      <c r="P597" s="184">
        <v>0</v>
      </c>
      <c r="Q597" s="184">
        <v>1</v>
      </c>
      <c r="R597" s="184">
        <v>0</v>
      </c>
      <c r="S597" s="184">
        <v>0</v>
      </c>
      <c r="T597" s="184">
        <v>2</v>
      </c>
      <c r="U597" s="184">
        <v>0</v>
      </c>
      <c r="V597" s="184">
        <v>1</v>
      </c>
      <c r="W597" s="184">
        <v>2</v>
      </c>
      <c r="X597" s="184">
        <v>2</v>
      </c>
      <c r="Y597" s="184">
        <v>0</v>
      </c>
      <c r="Z597" s="184">
        <v>0</v>
      </c>
      <c r="AA597" s="184">
        <v>0</v>
      </c>
      <c r="AB597" s="184">
        <v>0</v>
      </c>
      <c r="AC597" s="185">
        <v>40.5</v>
      </c>
      <c r="AD597" s="185" t="s">
        <v>24</v>
      </c>
      <c r="AE597" s="184">
        <v>0</v>
      </c>
      <c r="AF597" s="185">
        <v>0</v>
      </c>
      <c r="AG597" s="184">
        <v>0</v>
      </c>
      <c r="AH597" s="185">
        <v>0</v>
      </c>
      <c r="AI597" s="184">
        <v>0</v>
      </c>
      <c r="AJ597" s="643">
        <v>0</v>
      </c>
    </row>
    <row r="598" spans="1:36" x14ac:dyDescent="0.2">
      <c r="A598" s="440" t="s">
        <v>58</v>
      </c>
      <c r="B598" s="642">
        <v>13</v>
      </c>
      <c r="C598" s="184">
        <v>0</v>
      </c>
      <c r="D598" s="184">
        <v>11</v>
      </c>
      <c r="E598" s="184">
        <v>0</v>
      </c>
      <c r="F598" s="184">
        <v>2</v>
      </c>
      <c r="G598" s="184">
        <v>0</v>
      </c>
      <c r="H598" s="184">
        <v>0</v>
      </c>
      <c r="I598" s="184">
        <v>0</v>
      </c>
      <c r="J598" s="184">
        <v>0</v>
      </c>
      <c r="K598" s="184">
        <v>0</v>
      </c>
      <c r="L598" s="184">
        <v>0</v>
      </c>
      <c r="M598" s="654" t="s">
        <v>24</v>
      </c>
      <c r="N598" s="670" t="s">
        <v>58</v>
      </c>
      <c r="O598" s="642">
        <v>0</v>
      </c>
      <c r="P598" s="184">
        <v>0</v>
      </c>
      <c r="Q598" s="184">
        <v>2</v>
      </c>
      <c r="R598" s="184">
        <v>0</v>
      </c>
      <c r="S598" s="184">
        <v>0</v>
      </c>
      <c r="T598" s="184">
        <v>0</v>
      </c>
      <c r="U598" s="184">
        <v>4</v>
      </c>
      <c r="V598" s="184">
        <v>2</v>
      </c>
      <c r="W598" s="184">
        <v>4</v>
      </c>
      <c r="X598" s="184">
        <v>1</v>
      </c>
      <c r="Y598" s="184">
        <v>0</v>
      </c>
      <c r="Z598" s="184">
        <v>0</v>
      </c>
      <c r="AA598" s="184">
        <v>0</v>
      </c>
      <c r="AB598" s="184">
        <v>0</v>
      </c>
      <c r="AC598" s="185">
        <v>39.5</v>
      </c>
      <c r="AD598" s="185">
        <v>49.4</v>
      </c>
      <c r="AE598" s="184">
        <v>0</v>
      </c>
      <c r="AF598" s="185">
        <v>0</v>
      </c>
      <c r="AG598" s="184">
        <v>0</v>
      </c>
      <c r="AH598" s="185">
        <v>0</v>
      </c>
      <c r="AI598" s="184">
        <v>0</v>
      </c>
      <c r="AJ598" s="643">
        <v>0</v>
      </c>
    </row>
    <row r="599" spans="1:36" x14ac:dyDescent="0.2">
      <c r="A599" s="440" t="s">
        <v>97</v>
      </c>
      <c r="B599" s="642">
        <v>10</v>
      </c>
      <c r="C599" s="184">
        <v>1</v>
      </c>
      <c r="D599" s="184">
        <v>7</v>
      </c>
      <c r="E599" s="184">
        <v>0</v>
      </c>
      <c r="F599" s="184">
        <v>2</v>
      </c>
      <c r="G599" s="184">
        <v>0</v>
      </c>
      <c r="H599" s="184">
        <v>0</v>
      </c>
      <c r="I599" s="184">
        <v>0</v>
      </c>
      <c r="J599" s="184">
        <v>0</v>
      </c>
      <c r="K599" s="184">
        <v>0</v>
      </c>
      <c r="L599" s="184">
        <v>0</v>
      </c>
      <c r="M599" s="654" t="s">
        <v>24</v>
      </c>
      <c r="N599" s="670" t="s">
        <v>97</v>
      </c>
      <c r="O599" s="642">
        <v>0</v>
      </c>
      <c r="P599" s="184">
        <v>1</v>
      </c>
      <c r="Q599" s="184">
        <v>1</v>
      </c>
      <c r="R599" s="184">
        <v>0</v>
      </c>
      <c r="S599" s="184">
        <v>1</v>
      </c>
      <c r="T599" s="184">
        <v>0</v>
      </c>
      <c r="U599" s="184">
        <v>5</v>
      </c>
      <c r="V599" s="184">
        <v>2</v>
      </c>
      <c r="W599" s="184">
        <v>0</v>
      </c>
      <c r="X599" s="184">
        <v>0</v>
      </c>
      <c r="Y599" s="184">
        <v>0</v>
      </c>
      <c r="Z599" s="184">
        <v>0</v>
      </c>
      <c r="AA599" s="184">
        <v>0</v>
      </c>
      <c r="AB599" s="184">
        <v>0</v>
      </c>
      <c r="AC599" s="185">
        <v>33.6</v>
      </c>
      <c r="AD599" s="185" t="s">
        <v>24</v>
      </c>
      <c r="AE599" s="184">
        <v>0</v>
      </c>
      <c r="AF599" s="185">
        <v>0</v>
      </c>
      <c r="AG599" s="184">
        <v>0</v>
      </c>
      <c r="AH599" s="185">
        <v>0</v>
      </c>
      <c r="AI599" s="184">
        <v>0</v>
      </c>
      <c r="AJ599" s="643">
        <v>0</v>
      </c>
    </row>
    <row r="600" spans="1:36" x14ac:dyDescent="0.2">
      <c r="A600" s="440" t="s">
        <v>98</v>
      </c>
      <c r="B600" s="642">
        <v>14</v>
      </c>
      <c r="C600" s="184">
        <v>0</v>
      </c>
      <c r="D600" s="184">
        <v>14</v>
      </c>
      <c r="E600" s="184">
        <v>0</v>
      </c>
      <c r="F600" s="184">
        <v>0</v>
      </c>
      <c r="G600" s="184">
        <v>0</v>
      </c>
      <c r="H600" s="184">
        <v>0</v>
      </c>
      <c r="I600" s="184">
        <v>0</v>
      </c>
      <c r="J600" s="184">
        <v>0</v>
      </c>
      <c r="K600" s="184">
        <v>0</v>
      </c>
      <c r="L600" s="184">
        <v>0</v>
      </c>
      <c r="M600" s="654" t="s">
        <v>24</v>
      </c>
      <c r="N600" s="670" t="s">
        <v>98</v>
      </c>
      <c r="O600" s="642">
        <v>0</v>
      </c>
      <c r="P600" s="184">
        <v>0</v>
      </c>
      <c r="Q600" s="184">
        <v>0</v>
      </c>
      <c r="R600" s="184">
        <v>0</v>
      </c>
      <c r="S600" s="184">
        <v>1</v>
      </c>
      <c r="T600" s="184">
        <v>4</v>
      </c>
      <c r="U600" s="184">
        <v>5</v>
      </c>
      <c r="V600" s="184">
        <v>4</v>
      </c>
      <c r="W600" s="184">
        <v>0</v>
      </c>
      <c r="X600" s="184">
        <v>0</v>
      </c>
      <c r="Y600" s="184">
        <v>0</v>
      </c>
      <c r="Z600" s="184">
        <v>0</v>
      </c>
      <c r="AA600" s="184">
        <v>0</v>
      </c>
      <c r="AB600" s="184">
        <v>0</v>
      </c>
      <c r="AC600" s="185">
        <v>36.200000000000003</v>
      </c>
      <c r="AD600" s="185">
        <v>41</v>
      </c>
      <c r="AE600" s="184">
        <v>0</v>
      </c>
      <c r="AF600" s="185">
        <v>0</v>
      </c>
      <c r="AG600" s="184">
        <v>0</v>
      </c>
      <c r="AH600" s="185">
        <v>0</v>
      </c>
      <c r="AI600" s="184">
        <v>0</v>
      </c>
      <c r="AJ600" s="643">
        <v>0</v>
      </c>
    </row>
    <row r="601" spans="1:36" x14ac:dyDescent="0.2">
      <c r="A601" s="440" t="s">
        <v>99</v>
      </c>
      <c r="B601" s="642">
        <v>5</v>
      </c>
      <c r="C601" s="184">
        <v>0</v>
      </c>
      <c r="D601" s="184">
        <v>5</v>
      </c>
      <c r="E601" s="184">
        <v>0</v>
      </c>
      <c r="F601" s="184">
        <v>0</v>
      </c>
      <c r="G601" s="184">
        <v>0</v>
      </c>
      <c r="H601" s="184">
        <v>0</v>
      </c>
      <c r="I601" s="184">
        <v>0</v>
      </c>
      <c r="J601" s="184">
        <v>0</v>
      </c>
      <c r="K601" s="184">
        <v>0</v>
      </c>
      <c r="L601" s="184">
        <v>0</v>
      </c>
      <c r="M601" s="654" t="s">
        <v>24</v>
      </c>
      <c r="N601" s="670" t="s">
        <v>99</v>
      </c>
      <c r="O601" s="642">
        <v>0</v>
      </c>
      <c r="P601" s="184">
        <v>0</v>
      </c>
      <c r="Q601" s="184">
        <v>0</v>
      </c>
      <c r="R601" s="184">
        <v>0</v>
      </c>
      <c r="S601" s="184">
        <v>0</v>
      </c>
      <c r="T601" s="184">
        <v>1</v>
      </c>
      <c r="U601" s="184">
        <v>1</v>
      </c>
      <c r="V601" s="184">
        <v>2</v>
      </c>
      <c r="W601" s="184">
        <v>1</v>
      </c>
      <c r="X601" s="184">
        <v>0</v>
      </c>
      <c r="Y601" s="184">
        <v>0</v>
      </c>
      <c r="Z601" s="184">
        <v>0</v>
      </c>
      <c r="AA601" s="184">
        <v>0</v>
      </c>
      <c r="AB601" s="184">
        <v>0</v>
      </c>
      <c r="AC601" s="185">
        <v>39.5</v>
      </c>
      <c r="AD601" s="185" t="s">
        <v>24</v>
      </c>
      <c r="AE601" s="184">
        <v>0</v>
      </c>
      <c r="AF601" s="185">
        <v>0</v>
      </c>
      <c r="AG601" s="184">
        <v>0</v>
      </c>
      <c r="AH601" s="185">
        <v>0</v>
      </c>
      <c r="AI601" s="184">
        <v>0</v>
      </c>
      <c r="AJ601" s="643">
        <v>0</v>
      </c>
    </row>
    <row r="602" spans="1:36" x14ac:dyDescent="0.2">
      <c r="A602" s="440" t="s">
        <v>60</v>
      </c>
      <c r="B602" s="642">
        <v>7</v>
      </c>
      <c r="C602" s="184">
        <v>1</v>
      </c>
      <c r="D602" s="184">
        <v>4</v>
      </c>
      <c r="E602" s="184">
        <v>0</v>
      </c>
      <c r="F602" s="184">
        <v>2</v>
      </c>
      <c r="G602" s="184">
        <v>0</v>
      </c>
      <c r="H602" s="184">
        <v>0</v>
      </c>
      <c r="I602" s="184">
        <v>0</v>
      </c>
      <c r="J602" s="184">
        <v>0</v>
      </c>
      <c r="K602" s="184">
        <v>0</v>
      </c>
      <c r="L602" s="184">
        <v>0</v>
      </c>
      <c r="M602" s="654" t="s">
        <v>24</v>
      </c>
      <c r="N602" s="670" t="s">
        <v>60</v>
      </c>
      <c r="O602" s="642">
        <v>0</v>
      </c>
      <c r="P602" s="184">
        <v>1</v>
      </c>
      <c r="Q602" s="184">
        <v>0</v>
      </c>
      <c r="R602" s="184">
        <v>0</v>
      </c>
      <c r="S602" s="184">
        <v>1</v>
      </c>
      <c r="T602" s="184">
        <v>0</v>
      </c>
      <c r="U602" s="184">
        <v>5</v>
      </c>
      <c r="V602" s="184">
        <v>0</v>
      </c>
      <c r="W602" s="184">
        <v>0</v>
      </c>
      <c r="X602" s="184">
        <v>0</v>
      </c>
      <c r="Y602" s="184">
        <v>0</v>
      </c>
      <c r="Z602" s="184">
        <v>0</v>
      </c>
      <c r="AA602" s="184">
        <v>0</v>
      </c>
      <c r="AB602" s="184">
        <v>0</v>
      </c>
      <c r="AC602" s="185">
        <v>32.9</v>
      </c>
      <c r="AD602" s="185" t="s">
        <v>24</v>
      </c>
      <c r="AE602" s="184">
        <v>0</v>
      </c>
      <c r="AF602" s="185">
        <v>0</v>
      </c>
      <c r="AG602" s="184">
        <v>0</v>
      </c>
      <c r="AH602" s="185">
        <v>0</v>
      </c>
      <c r="AI602" s="184">
        <v>0</v>
      </c>
      <c r="AJ602" s="643">
        <v>0</v>
      </c>
    </row>
    <row r="603" spans="1:36" x14ac:dyDescent="0.2">
      <c r="A603" s="440" t="s">
        <v>100</v>
      </c>
      <c r="B603" s="642">
        <v>9</v>
      </c>
      <c r="C603" s="184">
        <v>0</v>
      </c>
      <c r="D603" s="184">
        <v>8</v>
      </c>
      <c r="E603" s="184">
        <v>0</v>
      </c>
      <c r="F603" s="184">
        <v>1</v>
      </c>
      <c r="G603" s="184">
        <v>0</v>
      </c>
      <c r="H603" s="184">
        <v>0</v>
      </c>
      <c r="I603" s="184">
        <v>0</v>
      </c>
      <c r="J603" s="184">
        <v>0</v>
      </c>
      <c r="K603" s="184">
        <v>0</v>
      </c>
      <c r="L603" s="184">
        <v>0</v>
      </c>
      <c r="M603" s="654" t="s">
        <v>24</v>
      </c>
      <c r="N603" s="670" t="s">
        <v>100</v>
      </c>
      <c r="O603" s="642">
        <v>0</v>
      </c>
      <c r="P603" s="184">
        <v>0</v>
      </c>
      <c r="Q603" s="184">
        <v>0</v>
      </c>
      <c r="R603" s="184">
        <v>0</v>
      </c>
      <c r="S603" s="184">
        <v>1</v>
      </c>
      <c r="T603" s="184">
        <v>0</v>
      </c>
      <c r="U603" s="184">
        <v>3</v>
      </c>
      <c r="V603" s="184">
        <v>2</v>
      </c>
      <c r="W603" s="184">
        <v>2</v>
      </c>
      <c r="X603" s="184">
        <v>1</v>
      </c>
      <c r="Y603" s="184">
        <v>0</v>
      </c>
      <c r="Z603" s="184">
        <v>0</v>
      </c>
      <c r="AA603" s="184">
        <v>0</v>
      </c>
      <c r="AB603" s="184">
        <v>0</v>
      </c>
      <c r="AC603" s="185">
        <v>41.7</v>
      </c>
      <c r="AD603" s="185" t="s">
        <v>24</v>
      </c>
      <c r="AE603" s="184">
        <v>0</v>
      </c>
      <c r="AF603" s="185">
        <v>0</v>
      </c>
      <c r="AG603" s="184">
        <v>0</v>
      </c>
      <c r="AH603" s="185">
        <v>0</v>
      </c>
      <c r="AI603" s="184">
        <v>0</v>
      </c>
      <c r="AJ603" s="643">
        <v>0</v>
      </c>
    </row>
    <row r="604" spans="1:36" x14ac:dyDescent="0.2">
      <c r="A604" s="440" t="s">
        <v>101</v>
      </c>
      <c r="B604" s="642">
        <v>9</v>
      </c>
      <c r="C604" s="184">
        <v>0</v>
      </c>
      <c r="D604" s="184">
        <v>8</v>
      </c>
      <c r="E604" s="184">
        <v>0</v>
      </c>
      <c r="F604" s="184">
        <v>1</v>
      </c>
      <c r="G604" s="184">
        <v>0</v>
      </c>
      <c r="H604" s="184">
        <v>0</v>
      </c>
      <c r="I604" s="184">
        <v>0</v>
      </c>
      <c r="J604" s="184">
        <v>0</v>
      </c>
      <c r="K604" s="184">
        <v>0</v>
      </c>
      <c r="L604" s="184">
        <v>0</v>
      </c>
      <c r="M604" s="654" t="s">
        <v>24</v>
      </c>
      <c r="N604" s="670" t="s">
        <v>101</v>
      </c>
      <c r="O604" s="642">
        <v>0</v>
      </c>
      <c r="P604" s="184">
        <v>0</v>
      </c>
      <c r="Q604" s="184">
        <v>0</v>
      </c>
      <c r="R604" s="184">
        <v>0</v>
      </c>
      <c r="S604" s="184">
        <v>0</v>
      </c>
      <c r="T604" s="184">
        <v>3</v>
      </c>
      <c r="U604" s="184">
        <v>1</v>
      </c>
      <c r="V604" s="184">
        <v>4</v>
      </c>
      <c r="W604" s="184">
        <v>0</v>
      </c>
      <c r="X604" s="184">
        <v>1</v>
      </c>
      <c r="Y604" s="184">
        <v>0</v>
      </c>
      <c r="Z604" s="184">
        <v>0</v>
      </c>
      <c r="AA604" s="184">
        <v>0</v>
      </c>
      <c r="AB604" s="184">
        <v>0</v>
      </c>
      <c r="AC604" s="185">
        <v>39.299999999999997</v>
      </c>
      <c r="AD604" s="185" t="s">
        <v>24</v>
      </c>
      <c r="AE604" s="184">
        <v>0</v>
      </c>
      <c r="AF604" s="185">
        <v>0</v>
      </c>
      <c r="AG604" s="184">
        <v>0</v>
      </c>
      <c r="AH604" s="185">
        <v>0</v>
      </c>
      <c r="AI604" s="184">
        <v>0</v>
      </c>
      <c r="AJ604" s="643">
        <v>0</v>
      </c>
    </row>
    <row r="605" spans="1:36" x14ac:dyDescent="0.2">
      <c r="A605" s="440" t="s">
        <v>102</v>
      </c>
      <c r="B605" s="642">
        <v>11</v>
      </c>
      <c r="C605" s="184">
        <v>0</v>
      </c>
      <c r="D605" s="184">
        <v>10</v>
      </c>
      <c r="E605" s="184">
        <v>1</v>
      </c>
      <c r="F605" s="184">
        <v>0</v>
      </c>
      <c r="G605" s="184">
        <v>0</v>
      </c>
      <c r="H605" s="184">
        <v>0</v>
      </c>
      <c r="I605" s="184">
        <v>0</v>
      </c>
      <c r="J605" s="184">
        <v>0</v>
      </c>
      <c r="K605" s="184">
        <v>0</v>
      </c>
      <c r="L605" s="184">
        <v>0</v>
      </c>
      <c r="M605" s="654" t="s">
        <v>24</v>
      </c>
      <c r="N605" s="670" t="s">
        <v>102</v>
      </c>
      <c r="O605" s="642">
        <v>0</v>
      </c>
      <c r="P605" s="184">
        <v>0</v>
      </c>
      <c r="Q605" s="184">
        <v>0</v>
      </c>
      <c r="R605" s="184">
        <v>0</v>
      </c>
      <c r="S605" s="184">
        <v>1</v>
      </c>
      <c r="T605" s="184">
        <v>0</v>
      </c>
      <c r="U605" s="184">
        <v>8</v>
      </c>
      <c r="V605" s="184">
        <v>0</v>
      </c>
      <c r="W605" s="184">
        <v>2</v>
      </c>
      <c r="X605" s="184">
        <v>0</v>
      </c>
      <c r="Y605" s="184">
        <v>0</v>
      </c>
      <c r="Z605" s="184">
        <v>0</v>
      </c>
      <c r="AA605" s="184">
        <v>0</v>
      </c>
      <c r="AB605" s="184">
        <v>0</v>
      </c>
      <c r="AC605" s="185">
        <v>37.799999999999997</v>
      </c>
      <c r="AD605" s="185">
        <v>46.8</v>
      </c>
      <c r="AE605" s="184">
        <v>0</v>
      </c>
      <c r="AF605" s="185">
        <v>0</v>
      </c>
      <c r="AG605" s="184">
        <v>0</v>
      </c>
      <c r="AH605" s="185">
        <v>0</v>
      </c>
      <c r="AI605" s="184">
        <v>0</v>
      </c>
      <c r="AJ605" s="643">
        <v>0</v>
      </c>
    </row>
    <row r="606" spans="1:36" x14ac:dyDescent="0.2">
      <c r="A606" s="440" t="s">
        <v>62</v>
      </c>
      <c r="B606" s="642">
        <v>10</v>
      </c>
      <c r="C606" s="184">
        <v>0</v>
      </c>
      <c r="D606" s="184">
        <v>10</v>
      </c>
      <c r="E606" s="184">
        <v>0</v>
      </c>
      <c r="F606" s="184">
        <v>0</v>
      </c>
      <c r="G606" s="184">
        <v>0</v>
      </c>
      <c r="H606" s="184">
        <v>0</v>
      </c>
      <c r="I606" s="184">
        <v>0</v>
      </c>
      <c r="J606" s="184">
        <v>0</v>
      </c>
      <c r="K606" s="184">
        <v>0</v>
      </c>
      <c r="L606" s="184">
        <v>0</v>
      </c>
      <c r="M606" s="654" t="s">
        <v>24</v>
      </c>
      <c r="N606" s="670" t="s">
        <v>62</v>
      </c>
      <c r="O606" s="642">
        <v>0</v>
      </c>
      <c r="P606" s="184">
        <v>0</v>
      </c>
      <c r="Q606" s="184">
        <v>0</v>
      </c>
      <c r="R606" s="184">
        <v>0</v>
      </c>
      <c r="S606" s="184">
        <v>0</v>
      </c>
      <c r="T606" s="184">
        <v>1</v>
      </c>
      <c r="U606" s="184">
        <v>5</v>
      </c>
      <c r="V606" s="184">
        <v>2</v>
      </c>
      <c r="W606" s="184">
        <v>1</v>
      </c>
      <c r="X606" s="184">
        <v>0</v>
      </c>
      <c r="Y606" s="184">
        <v>1</v>
      </c>
      <c r="Z606" s="184">
        <v>0</v>
      </c>
      <c r="AA606" s="184">
        <v>0</v>
      </c>
      <c r="AB606" s="184">
        <v>0</v>
      </c>
      <c r="AC606" s="185">
        <v>41</v>
      </c>
      <c r="AD606" s="185" t="s">
        <v>24</v>
      </c>
      <c r="AE606" s="184">
        <v>1</v>
      </c>
      <c r="AF606" s="185">
        <v>10</v>
      </c>
      <c r="AG606" s="184">
        <v>0</v>
      </c>
      <c r="AH606" s="185">
        <v>0</v>
      </c>
      <c r="AI606" s="184">
        <v>0</v>
      </c>
      <c r="AJ606" s="643">
        <v>0</v>
      </c>
    </row>
    <row r="607" spans="1:36" x14ac:dyDescent="0.2">
      <c r="A607" s="440" t="s">
        <v>103</v>
      </c>
      <c r="B607" s="642">
        <v>7</v>
      </c>
      <c r="C607" s="184">
        <v>0</v>
      </c>
      <c r="D607" s="184">
        <v>7</v>
      </c>
      <c r="E607" s="184">
        <v>0</v>
      </c>
      <c r="F607" s="184">
        <v>0</v>
      </c>
      <c r="G607" s="184">
        <v>0</v>
      </c>
      <c r="H607" s="184">
        <v>0</v>
      </c>
      <c r="I607" s="184">
        <v>0</v>
      </c>
      <c r="J607" s="184">
        <v>0</v>
      </c>
      <c r="K607" s="184">
        <v>0</v>
      </c>
      <c r="L607" s="184">
        <v>0</v>
      </c>
      <c r="M607" s="654" t="s">
        <v>24</v>
      </c>
      <c r="N607" s="670" t="s">
        <v>103</v>
      </c>
      <c r="O607" s="642">
        <v>0</v>
      </c>
      <c r="P607" s="184">
        <v>0</v>
      </c>
      <c r="Q607" s="184">
        <v>0</v>
      </c>
      <c r="R607" s="184">
        <v>0</v>
      </c>
      <c r="S607" s="184">
        <v>0</v>
      </c>
      <c r="T607" s="184">
        <v>1</v>
      </c>
      <c r="U607" s="184">
        <v>1</v>
      </c>
      <c r="V607" s="184">
        <v>4</v>
      </c>
      <c r="W607" s="184">
        <v>1</v>
      </c>
      <c r="X607" s="184">
        <v>0</v>
      </c>
      <c r="Y607" s="184">
        <v>0</v>
      </c>
      <c r="Z607" s="184">
        <v>0</v>
      </c>
      <c r="AA607" s="184">
        <v>0</v>
      </c>
      <c r="AB607" s="184">
        <v>0</v>
      </c>
      <c r="AC607" s="185">
        <v>40.299999999999997</v>
      </c>
      <c r="AD607" s="185" t="s">
        <v>24</v>
      </c>
      <c r="AE607" s="184">
        <v>0</v>
      </c>
      <c r="AF607" s="185">
        <v>0</v>
      </c>
      <c r="AG607" s="184">
        <v>0</v>
      </c>
      <c r="AH607" s="185">
        <v>0</v>
      </c>
      <c r="AI607" s="184">
        <v>0</v>
      </c>
      <c r="AJ607" s="643">
        <v>0</v>
      </c>
    </row>
    <row r="608" spans="1:36" x14ac:dyDescent="0.2">
      <c r="A608" s="440" t="s">
        <v>104</v>
      </c>
      <c r="B608" s="642">
        <v>8</v>
      </c>
      <c r="C608" s="184">
        <v>0</v>
      </c>
      <c r="D608" s="184">
        <v>8</v>
      </c>
      <c r="E608" s="184">
        <v>0</v>
      </c>
      <c r="F608" s="184">
        <v>0</v>
      </c>
      <c r="G608" s="184">
        <v>0</v>
      </c>
      <c r="H608" s="184">
        <v>0</v>
      </c>
      <c r="I608" s="184">
        <v>0</v>
      </c>
      <c r="J608" s="184">
        <v>0</v>
      </c>
      <c r="K608" s="184">
        <v>0</v>
      </c>
      <c r="L608" s="184">
        <v>0</v>
      </c>
      <c r="M608" s="654" t="s">
        <v>24</v>
      </c>
      <c r="N608" s="670" t="s">
        <v>104</v>
      </c>
      <c r="O608" s="642">
        <v>0</v>
      </c>
      <c r="P608" s="184">
        <v>0</v>
      </c>
      <c r="Q608" s="184">
        <v>0</v>
      </c>
      <c r="R608" s="184">
        <v>0</v>
      </c>
      <c r="S608" s="184">
        <v>0</v>
      </c>
      <c r="T608" s="184">
        <v>1</v>
      </c>
      <c r="U608" s="184">
        <v>2</v>
      </c>
      <c r="V608" s="184">
        <v>3</v>
      </c>
      <c r="W608" s="184">
        <v>0</v>
      </c>
      <c r="X608" s="184">
        <v>2</v>
      </c>
      <c r="Y608" s="184">
        <v>0</v>
      </c>
      <c r="Z608" s="184">
        <v>0</v>
      </c>
      <c r="AA608" s="184">
        <v>0</v>
      </c>
      <c r="AB608" s="184">
        <v>0</v>
      </c>
      <c r="AC608" s="185">
        <v>42.4</v>
      </c>
      <c r="AD608" s="185" t="s">
        <v>24</v>
      </c>
      <c r="AE608" s="184">
        <v>0</v>
      </c>
      <c r="AF608" s="185">
        <v>0</v>
      </c>
      <c r="AG608" s="184">
        <v>0</v>
      </c>
      <c r="AH608" s="185">
        <v>0</v>
      </c>
      <c r="AI608" s="184">
        <v>0</v>
      </c>
      <c r="AJ608" s="643">
        <v>0</v>
      </c>
    </row>
    <row r="609" spans="1:36" x14ac:dyDescent="0.2">
      <c r="A609" s="440" t="s">
        <v>105</v>
      </c>
      <c r="B609" s="642">
        <v>9</v>
      </c>
      <c r="C609" s="184">
        <v>0</v>
      </c>
      <c r="D609" s="184">
        <v>9</v>
      </c>
      <c r="E609" s="184">
        <v>0</v>
      </c>
      <c r="F609" s="184">
        <v>0</v>
      </c>
      <c r="G609" s="184">
        <v>0</v>
      </c>
      <c r="H609" s="184">
        <v>0</v>
      </c>
      <c r="I609" s="184">
        <v>0</v>
      </c>
      <c r="J609" s="184">
        <v>0</v>
      </c>
      <c r="K609" s="184">
        <v>0</v>
      </c>
      <c r="L609" s="184">
        <v>0</v>
      </c>
      <c r="M609" s="654" t="s">
        <v>24</v>
      </c>
      <c r="N609" s="670" t="s">
        <v>105</v>
      </c>
      <c r="O609" s="642">
        <v>0</v>
      </c>
      <c r="P609" s="184">
        <v>0</v>
      </c>
      <c r="Q609" s="184">
        <v>0</v>
      </c>
      <c r="R609" s="184">
        <v>0</v>
      </c>
      <c r="S609" s="184">
        <v>2</v>
      </c>
      <c r="T609" s="184">
        <v>0</v>
      </c>
      <c r="U609" s="184">
        <v>3</v>
      </c>
      <c r="V609" s="184">
        <v>1</v>
      </c>
      <c r="W609" s="184">
        <v>1</v>
      </c>
      <c r="X609" s="184">
        <v>2</v>
      </c>
      <c r="Y609" s="184">
        <v>0</v>
      </c>
      <c r="Z609" s="184">
        <v>0</v>
      </c>
      <c r="AA609" s="184">
        <v>0</v>
      </c>
      <c r="AB609" s="184">
        <v>0</v>
      </c>
      <c r="AC609" s="185">
        <v>40.200000000000003</v>
      </c>
      <c r="AD609" s="185" t="s">
        <v>24</v>
      </c>
      <c r="AE609" s="184">
        <v>0</v>
      </c>
      <c r="AF609" s="185">
        <v>0</v>
      </c>
      <c r="AG609" s="184">
        <v>0</v>
      </c>
      <c r="AH609" s="185">
        <v>0</v>
      </c>
      <c r="AI609" s="184">
        <v>0</v>
      </c>
      <c r="AJ609" s="643">
        <v>0</v>
      </c>
    </row>
    <row r="610" spans="1:36" x14ac:dyDescent="0.2">
      <c r="A610" s="440" t="s">
        <v>64</v>
      </c>
      <c r="B610" s="642">
        <v>8</v>
      </c>
      <c r="C610" s="184">
        <v>0</v>
      </c>
      <c r="D610" s="184">
        <v>8</v>
      </c>
      <c r="E610" s="184">
        <v>0</v>
      </c>
      <c r="F610" s="184">
        <v>0</v>
      </c>
      <c r="G610" s="184">
        <v>0</v>
      </c>
      <c r="H610" s="184">
        <v>0</v>
      </c>
      <c r="I610" s="184">
        <v>0</v>
      </c>
      <c r="J610" s="184">
        <v>0</v>
      </c>
      <c r="K610" s="184">
        <v>0</v>
      </c>
      <c r="L610" s="184">
        <v>0</v>
      </c>
      <c r="M610" s="654" t="s">
        <v>24</v>
      </c>
      <c r="N610" s="670" t="s">
        <v>64</v>
      </c>
      <c r="O610" s="642">
        <v>0</v>
      </c>
      <c r="P610" s="184">
        <v>0</v>
      </c>
      <c r="Q610" s="184">
        <v>0</v>
      </c>
      <c r="R610" s="184">
        <v>0</v>
      </c>
      <c r="S610" s="184">
        <v>0</v>
      </c>
      <c r="T610" s="184">
        <v>1</v>
      </c>
      <c r="U610" s="184">
        <v>1</v>
      </c>
      <c r="V610" s="184">
        <v>4</v>
      </c>
      <c r="W610" s="184">
        <v>2</v>
      </c>
      <c r="X610" s="184">
        <v>0</v>
      </c>
      <c r="Y610" s="184">
        <v>0</v>
      </c>
      <c r="Z610" s="184">
        <v>0</v>
      </c>
      <c r="AA610" s="184">
        <v>0</v>
      </c>
      <c r="AB610" s="184">
        <v>0</v>
      </c>
      <c r="AC610" s="185">
        <v>42.7</v>
      </c>
      <c r="AD610" s="185" t="s">
        <v>24</v>
      </c>
      <c r="AE610" s="184">
        <v>0</v>
      </c>
      <c r="AF610" s="185">
        <v>0</v>
      </c>
      <c r="AG610" s="184">
        <v>0</v>
      </c>
      <c r="AH610" s="185">
        <v>0</v>
      </c>
      <c r="AI610" s="184">
        <v>0</v>
      </c>
      <c r="AJ610" s="643">
        <v>0</v>
      </c>
    </row>
    <row r="611" spans="1:36" x14ac:dyDescent="0.2">
      <c r="A611" s="440" t="s">
        <v>106</v>
      </c>
      <c r="B611" s="642">
        <v>16</v>
      </c>
      <c r="C611" s="184">
        <v>0</v>
      </c>
      <c r="D611" s="184">
        <v>14</v>
      </c>
      <c r="E611" s="184">
        <v>1</v>
      </c>
      <c r="F611" s="184">
        <v>1</v>
      </c>
      <c r="G611" s="184">
        <v>0</v>
      </c>
      <c r="H611" s="184">
        <v>0</v>
      </c>
      <c r="I611" s="184">
        <v>0</v>
      </c>
      <c r="J611" s="184">
        <v>0</v>
      </c>
      <c r="K611" s="184">
        <v>0</v>
      </c>
      <c r="L611" s="184">
        <v>0</v>
      </c>
      <c r="M611" s="654" t="s">
        <v>24</v>
      </c>
      <c r="N611" s="670" t="s">
        <v>106</v>
      </c>
      <c r="O611" s="642">
        <v>0</v>
      </c>
      <c r="P611" s="184">
        <v>0</v>
      </c>
      <c r="Q611" s="184">
        <v>0</v>
      </c>
      <c r="R611" s="184">
        <v>0</v>
      </c>
      <c r="S611" s="184">
        <v>1</v>
      </c>
      <c r="T611" s="184">
        <v>1</v>
      </c>
      <c r="U611" s="184">
        <v>7</v>
      </c>
      <c r="V611" s="184">
        <v>5</v>
      </c>
      <c r="W611" s="184">
        <v>1</v>
      </c>
      <c r="X611" s="184">
        <v>1</v>
      </c>
      <c r="Y611" s="184">
        <v>0</v>
      </c>
      <c r="Z611" s="184">
        <v>0</v>
      </c>
      <c r="AA611" s="184">
        <v>0</v>
      </c>
      <c r="AB611" s="184">
        <v>0</v>
      </c>
      <c r="AC611" s="185">
        <v>39</v>
      </c>
      <c r="AD611" s="185">
        <v>44.4</v>
      </c>
      <c r="AE611" s="184">
        <v>0</v>
      </c>
      <c r="AF611" s="185">
        <v>0</v>
      </c>
      <c r="AG611" s="184">
        <v>0</v>
      </c>
      <c r="AH611" s="185">
        <v>0</v>
      </c>
      <c r="AI611" s="184">
        <v>0</v>
      </c>
      <c r="AJ611" s="643">
        <v>0</v>
      </c>
    </row>
    <row r="612" spans="1:36" x14ac:dyDescent="0.2">
      <c r="A612" s="440" t="s">
        <v>107</v>
      </c>
      <c r="B612" s="642">
        <v>4</v>
      </c>
      <c r="C612" s="184">
        <v>0</v>
      </c>
      <c r="D612" s="184">
        <v>4</v>
      </c>
      <c r="E612" s="184">
        <v>0</v>
      </c>
      <c r="F612" s="184">
        <v>0</v>
      </c>
      <c r="G612" s="184">
        <v>0</v>
      </c>
      <c r="H612" s="184">
        <v>0</v>
      </c>
      <c r="I612" s="184">
        <v>0</v>
      </c>
      <c r="J612" s="184">
        <v>0</v>
      </c>
      <c r="K612" s="184">
        <v>0</v>
      </c>
      <c r="L612" s="184">
        <v>0</v>
      </c>
      <c r="M612" s="654" t="s">
        <v>24</v>
      </c>
      <c r="N612" s="670" t="s">
        <v>107</v>
      </c>
      <c r="O612" s="642">
        <v>0</v>
      </c>
      <c r="P612" s="184">
        <v>0</v>
      </c>
      <c r="Q612" s="184">
        <v>0</v>
      </c>
      <c r="R612" s="184">
        <v>0</v>
      </c>
      <c r="S612" s="184">
        <v>0</v>
      </c>
      <c r="T612" s="184">
        <v>0</v>
      </c>
      <c r="U612" s="184">
        <v>3</v>
      </c>
      <c r="V612" s="184">
        <v>1</v>
      </c>
      <c r="W612" s="184">
        <v>0</v>
      </c>
      <c r="X612" s="184">
        <v>0</v>
      </c>
      <c r="Y612" s="184">
        <v>0</v>
      </c>
      <c r="Z612" s="184">
        <v>0</v>
      </c>
      <c r="AA612" s="184">
        <v>0</v>
      </c>
      <c r="AB612" s="184">
        <v>0</v>
      </c>
      <c r="AC612" s="185">
        <v>38.5</v>
      </c>
      <c r="AD612" s="185" t="s">
        <v>24</v>
      </c>
      <c r="AE612" s="184">
        <v>0</v>
      </c>
      <c r="AF612" s="185">
        <v>0</v>
      </c>
      <c r="AG612" s="184">
        <v>0</v>
      </c>
      <c r="AH612" s="185">
        <v>0</v>
      </c>
      <c r="AI612" s="184">
        <v>0</v>
      </c>
      <c r="AJ612" s="643">
        <v>0</v>
      </c>
    </row>
    <row r="613" spans="1:36" x14ac:dyDescent="0.2">
      <c r="A613" s="440" t="s">
        <v>108</v>
      </c>
      <c r="B613" s="642">
        <v>13</v>
      </c>
      <c r="C613" s="184">
        <v>0</v>
      </c>
      <c r="D613" s="184">
        <v>12</v>
      </c>
      <c r="E613" s="184">
        <v>0</v>
      </c>
      <c r="F613" s="184">
        <v>1</v>
      </c>
      <c r="G613" s="184">
        <v>0</v>
      </c>
      <c r="H613" s="184">
        <v>0</v>
      </c>
      <c r="I613" s="184">
        <v>0</v>
      </c>
      <c r="J613" s="184">
        <v>0</v>
      </c>
      <c r="K613" s="184">
        <v>0</v>
      </c>
      <c r="L613" s="184">
        <v>0</v>
      </c>
      <c r="M613" s="654" t="s">
        <v>24</v>
      </c>
      <c r="N613" s="670" t="s">
        <v>108</v>
      </c>
      <c r="O613" s="642">
        <v>0</v>
      </c>
      <c r="P613" s="184">
        <v>0</v>
      </c>
      <c r="Q613" s="184">
        <v>0</v>
      </c>
      <c r="R613" s="184">
        <v>0</v>
      </c>
      <c r="S613" s="184">
        <v>0</v>
      </c>
      <c r="T613" s="184">
        <v>4</v>
      </c>
      <c r="U613" s="184">
        <v>3</v>
      </c>
      <c r="V613" s="184">
        <v>2</v>
      </c>
      <c r="W613" s="184">
        <v>2</v>
      </c>
      <c r="X613" s="184">
        <v>1</v>
      </c>
      <c r="Y613" s="184">
        <v>1</v>
      </c>
      <c r="Z613" s="184">
        <v>0</v>
      </c>
      <c r="AA613" s="184">
        <v>0</v>
      </c>
      <c r="AB613" s="184">
        <v>0</v>
      </c>
      <c r="AC613" s="185">
        <v>41.5</v>
      </c>
      <c r="AD613" s="185">
        <v>50.9</v>
      </c>
      <c r="AE613" s="184">
        <v>1</v>
      </c>
      <c r="AF613" s="185">
        <v>7.6923076923076925</v>
      </c>
      <c r="AG613" s="184">
        <v>0</v>
      </c>
      <c r="AH613" s="185">
        <v>0</v>
      </c>
      <c r="AI613" s="184">
        <v>0</v>
      </c>
      <c r="AJ613" s="643">
        <v>0</v>
      </c>
    </row>
    <row r="614" spans="1:36" x14ac:dyDescent="0.2">
      <c r="A614" s="440" t="s">
        <v>65</v>
      </c>
      <c r="B614" s="646">
        <v>18</v>
      </c>
      <c r="C614" s="186">
        <v>1</v>
      </c>
      <c r="D614" s="186">
        <v>16</v>
      </c>
      <c r="E614" s="186">
        <v>0</v>
      </c>
      <c r="F614" s="186">
        <v>1</v>
      </c>
      <c r="G614" s="186">
        <v>0</v>
      </c>
      <c r="H614" s="186">
        <v>0</v>
      </c>
      <c r="I614" s="186">
        <v>0</v>
      </c>
      <c r="J614" s="186">
        <v>0</v>
      </c>
      <c r="K614" s="186">
        <v>0</v>
      </c>
      <c r="L614" s="186">
        <v>0</v>
      </c>
      <c r="M614" s="656" t="s">
        <v>24</v>
      </c>
      <c r="N614" s="670" t="s">
        <v>65</v>
      </c>
      <c r="O614" s="646">
        <v>0</v>
      </c>
      <c r="P614" s="186">
        <v>1</v>
      </c>
      <c r="Q614" s="186">
        <v>0</v>
      </c>
      <c r="R614" s="186">
        <v>0</v>
      </c>
      <c r="S614" s="186">
        <v>1</v>
      </c>
      <c r="T614" s="186">
        <v>3</v>
      </c>
      <c r="U614" s="186">
        <v>6</v>
      </c>
      <c r="V614" s="186">
        <v>6</v>
      </c>
      <c r="W614" s="186">
        <v>1</v>
      </c>
      <c r="X614" s="186">
        <v>0</v>
      </c>
      <c r="Y614" s="186">
        <v>0</v>
      </c>
      <c r="Z614" s="186">
        <v>0</v>
      </c>
      <c r="AA614" s="186">
        <v>0</v>
      </c>
      <c r="AB614" s="186">
        <v>0</v>
      </c>
      <c r="AC614" s="187">
        <v>37</v>
      </c>
      <c r="AD614" s="187">
        <v>42.2</v>
      </c>
      <c r="AE614" s="186">
        <v>0</v>
      </c>
      <c r="AF614" s="187">
        <v>0</v>
      </c>
      <c r="AG614" s="186">
        <v>0</v>
      </c>
      <c r="AH614" s="187">
        <v>0</v>
      </c>
      <c r="AI614" s="186">
        <v>0</v>
      </c>
      <c r="AJ614" s="647">
        <v>0</v>
      </c>
    </row>
    <row r="615" spans="1:36" x14ac:dyDescent="0.2">
      <c r="A615" s="440" t="s">
        <v>109</v>
      </c>
      <c r="B615" s="642">
        <v>9</v>
      </c>
      <c r="C615" s="184">
        <v>0</v>
      </c>
      <c r="D615" s="184">
        <v>9</v>
      </c>
      <c r="E615" s="184">
        <v>0</v>
      </c>
      <c r="F615" s="184">
        <v>0</v>
      </c>
      <c r="G615" s="184">
        <v>0</v>
      </c>
      <c r="H615" s="184">
        <v>0</v>
      </c>
      <c r="I615" s="184">
        <v>0</v>
      </c>
      <c r="J615" s="184">
        <v>0</v>
      </c>
      <c r="K615" s="184">
        <v>0</v>
      </c>
      <c r="L615" s="184">
        <v>0</v>
      </c>
      <c r="M615" s="654" t="s">
        <v>24</v>
      </c>
      <c r="N615" s="670" t="s">
        <v>109</v>
      </c>
      <c r="O615" s="642">
        <v>0</v>
      </c>
      <c r="P615" s="184">
        <v>0</v>
      </c>
      <c r="Q615" s="184">
        <v>0</v>
      </c>
      <c r="R615" s="184">
        <v>0</v>
      </c>
      <c r="S615" s="184">
        <v>0</v>
      </c>
      <c r="T615" s="184">
        <v>1</v>
      </c>
      <c r="U615" s="184">
        <v>2</v>
      </c>
      <c r="V615" s="184">
        <v>3</v>
      </c>
      <c r="W615" s="184">
        <v>0</v>
      </c>
      <c r="X615" s="184">
        <v>3</v>
      </c>
      <c r="Y615" s="184">
        <v>0</v>
      </c>
      <c r="Z615" s="184">
        <v>0</v>
      </c>
      <c r="AA615" s="184">
        <v>0</v>
      </c>
      <c r="AB615" s="184">
        <v>0</v>
      </c>
      <c r="AC615" s="185">
        <v>44.4</v>
      </c>
      <c r="AD615" s="185" t="s">
        <v>24</v>
      </c>
      <c r="AE615" s="184">
        <v>0</v>
      </c>
      <c r="AF615" s="185">
        <v>0</v>
      </c>
      <c r="AG615" s="184">
        <v>0</v>
      </c>
      <c r="AH615" s="185">
        <v>0</v>
      </c>
      <c r="AI615" s="184">
        <v>0</v>
      </c>
      <c r="AJ615" s="643">
        <v>0</v>
      </c>
    </row>
    <row r="616" spans="1:36" x14ac:dyDescent="0.2">
      <c r="A616" s="440" t="s">
        <v>110</v>
      </c>
      <c r="B616" s="642">
        <v>15</v>
      </c>
      <c r="C616" s="184">
        <v>0</v>
      </c>
      <c r="D616" s="184">
        <v>14</v>
      </c>
      <c r="E616" s="184">
        <v>0</v>
      </c>
      <c r="F616" s="184">
        <v>1</v>
      </c>
      <c r="G616" s="184">
        <v>0</v>
      </c>
      <c r="H616" s="184">
        <v>0</v>
      </c>
      <c r="I616" s="184">
        <v>0</v>
      </c>
      <c r="J616" s="184">
        <v>0</v>
      </c>
      <c r="K616" s="184">
        <v>0</v>
      </c>
      <c r="L616" s="184">
        <v>0</v>
      </c>
      <c r="M616" s="654" t="s">
        <v>24</v>
      </c>
      <c r="N616" s="670" t="s">
        <v>110</v>
      </c>
      <c r="O616" s="642">
        <v>0</v>
      </c>
      <c r="P616" s="184">
        <v>0</v>
      </c>
      <c r="Q616" s="184">
        <v>0</v>
      </c>
      <c r="R616" s="184">
        <v>0</v>
      </c>
      <c r="S616" s="184">
        <v>0</v>
      </c>
      <c r="T616" s="184">
        <v>3</v>
      </c>
      <c r="U616" s="184">
        <v>9</v>
      </c>
      <c r="V616" s="184">
        <v>0</v>
      </c>
      <c r="W616" s="184">
        <v>2</v>
      </c>
      <c r="X616" s="184">
        <v>1</v>
      </c>
      <c r="Y616" s="184">
        <v>0</v>
      </c>
      <c r="Z616" s="184">
        <v>0</v>
      </c>
      <c r="AA616" s="184">
        <v>0</v>
      </c>
      <c r="AB616" s="184">
        <v>0</v>
      </c>
      <c r="AC616" s="185">
        <v>39.1</v>
      </c>
      <c r="AD616" s="185">
        <v>47.5</v>
      </c>
      <c r="AE616" s="184">
        <v>0</v>
      </c>
      <c r="AF616" s="185">
        <v>0</v>
      </c>
      <c r="AG616" s="184">
        <v>0</v>
      </c>
      <c r="AH616" s="185">
        <v>0</v>
      </c>
      <c r="AI616" s="184">
        <v>0</v>
      </c>
      <c r="AJ616" s="643">
        <v>0</v>
      </c>
    </row>
    <row r="617" spans="1:36" x14ac:dyDescent="0.2">
      <c r="A617" s="440" t="s">
        <v>111</v>
      </c>
      <c r="B617" s="642">
        <v>15</v>
      </c>
      <c r="C617" s="184">
        <v>0</v>
      </c>
      <c r="D617" s="184">
        <v>13</v>
      </c>
      <c r="E617" s="184">
        <v>1</v>
      </c>
      <c r="F617" s="184">
        <v>1</v>
      </c>
      <c r="G617" s="184">
        <v>0</v>
      </c>
      <c r="H617" s="184">
        <v>0</v>
      </c>
      <c r="I617" s="184">
        <v>0</v>
      </c>
      <c r="J617" s="184">
        <v>0</v>
      </c>
      <c r="K617" s="184">
        <v>0</v>
      </c>
      <c r="L617" s="184">
        <v>0</v>
      </c>
      <c r="M617" s="654" t="s">
        <v>24</v>
      </c>
      <c r="N617" s="670" t="s">
        <v>111</v>
      </c>
      <c r="O617" s="642">
        <v>0</v>
      </c>
      <c r="P617" s="184">
        <v>0</v>
      </c>
      <c r="Q617" s="184">
        <v>1</v>
      </c>
      <c r="R617" s="184">
        <v>0</v>
      </c>
      <c r="S617" s="184">
        <v>0</v>
      </c>
      <c r="T617" s="184">
        <v>4</v>
      </c>
      <c r="U617" s="184">
        <v>2</v>
      </c>
      <c r="V617" s="184">
        <v>3</v>
      </c>
      <c r="W617" s="184">
        <v>2</v>
      </c>
      <c r="X617" s="184">
        <v>3</v>
      </c>
      <c r="Y617" s="184">
        <v>0</v>
      </c>
      <c r="Z617" s="184">
        <v>0</v>
      </c>
      <c r="AA617" s="184">
        <v>0</v>
      </c>
      <c r="AB617" s="184">
        <v>0</v>
      </c>
      <c r="AC617" s="185">
        <v>40.1</v>
      </c>
      <c r="AD617" s="185">
        <v>53.1</v>
      </c>
      <c r="AE617" s="184">
        <v>0</v>
      </c>
      <c r="AF617" s="185">
        <v>0</v>
      </c>
      <c r="AG617" s="184">
        <v>0</v>
      </c>
      <c r="AH617" s="185">
        <v>0</v>
      </c>
      <c r="AI617" s="184">
        <v>0</v>
      </c>
      <c r="AJ617" s="643">
        <v>0</v>
      </c>
    </row>
    <row r="618" spans="1:36" x14ac:dyDescent="0.2">
      <c r="A618" s="440" t="s">
        <v>67</v>
      </c>
      <c r="B618" s="642">
        <v>9</v>
      </c>
      <c r="C618" s="184">
        <v>0</v>
      </c>
      <c r="D618" s="184">
        <v>9</v>
      </c>
      <c r="E618" s="184">
        <v>0</v>
      </c>
      <c r="F618" s="184">
        <v>0</v>
      </c>
      <c r="G618" s="184">
        <v>0</v>
      </c>
      <c r="H618" s="184">
        <v>0</v>
      </c>
      <c r="I618" s="184">
        <v>0</v>
      </c>
      <c r="J618" s="184">
        <v>0</v>
      </c>
      <c r="K618" s="184">
        <v>0</v>
      </c>
      <c r="L618" s="184">
        <v>0</v>
      </c>
      <c r="M618" s="654" t="s">
        <v>24</v>
      </c>
      <c r="N618" s="670" t="s">
        <v>67</v>
      </c>
      <c r="O618" s="642">
        <v>0</v>
      </c>
      <c r="P618" s="184">
        <v>0</v>
      </c>
      <c r="Q618" s="184">
        <v>0</v>
      </c>
      <c r="R618" s="184">
        <v>0</v>
      </c>
      <c r="S618" s="184">
        <v>1</v>
      </c>
      <c r="T618" s="184">
        <v>1</v>
      </c>
      <c r="U618" s="184">
        <v>4</v>
      </c>
      <c r="V618" s="184">
        <v>2</v>
      </c>
      <c r="W618" s="184">
        <v>0</v>
      </c>
      <c r="X618" s="184">
        <v>1</v>
      </c>
      <c r="Y618" s="184">
        <v>0</v>
      </c>
      <c r="Z618" s="184">
        <v>0</v>
      </c>
      <c r="AA618" s="184">
        <v>0</v>
      </c>
      <c r="AB618" s="184">
        <v>0</v>
      </c>
      <c r="AC618" s="185">
        <v>38.5</v>
      </c>
      <c r="AD618" s="185" t="s">
        <v>24</v>
      </c>
      <c r="AE618" s="184">
        <v>0</v>
      </c>
      <c r="AF618" s="185">
        <v>0</v>
      </c>
      <c r="AG618" s="184">
        <v>0</v>
      </c>
      <c r="AH618" s="185">
        <v>0</v>
      </c>
      <c r="AI618" s="184">
        <v>0</v>
      </c>
      <c r="AJ618" s="643">
        <v>0</v>
      </c>
    </row>
    <row r="619" spans="1:36" x14ac:dyDescent="0.2">
      <c r="A619" s="440" t="s">
        <v>112</v>
      </c>
      <c r="B619" s="642">
        <v>15</v>
      </c>
      <c r="C619" s="184">
        <v>0</v>
      </c>
      <c r="D619" s="184">
        <v>14</v>
      </c>
      <c r="E619" s="184">
        <v>0</v>
      </c>
      <c r="F619" s="184">
        <v>1</v>
      </c>
      <c r="G619" s="184">
        <v>0</v>
      </c>
      <c r="H619" s="184">
        <v>0</v>
      </c>
      <c r="I619" s="184">
        <v>0</v>
      </c>
      <c r="J619" s="184">
        <v>0</v>
      </c>
      <c r="K619" s="184">
        <v>0</v>
      </c>
      <c r="L619" s="184">
        <v>0</v>
      </c>
      <c r="M619" s="654" t="s">
        <v>24</v>
      </c>
      <c r="N619" s="670" t="s">
        <v>112</v>
      </c>
      <c r="O619" s="642">
        <v>0</v>
      </c>
      <c r="P619" s="184">
        <v>0</v>
      </c>
      <c r="Q619" s="184">
        <v>0</v>
      </c>
      <c r="R619" s="184">
        <v>1</v>
      </c>
      <c r="S619" s="184">
        <v>0</v>
      </c>
      <c r="T619" s="184">
        <v>1</v>
      </c>
      <c r="U619" s="184">
        <v>6</v>
      </c>
      <c r="V619" s="184">
        <v>6</v>
      </c>
      <c r="W619" s="184">
        <v>1</v>
      </c>
      <c r="X619" s="184">
        <v>0</v>
      </c>
      <c r="Y619" s="184">
        <v>0</v>
      </c>
      <c r="Z619" s="184">
        <v>0</v>
      </c>
      <c r="AA619" s="184">
        <v>0</v>
      </c>
      <c r="AB619" s="184">
        <v>0</v>
      </c>
      <c r="AC619" s="185">
        <v>38.5</v>
      </c>
      <c r="AD619" s="185">
        <v>43.8</v>
      </c>
      <c r="AE619" s="184">
        <v>0</v>
      </c>
      <c r="AF619" s="185">
        <v>0</v>
      </c>
      <c r="AG619" s="184">
        <v>0</v>
      </c>
      <c r="AH619" s="185">
        <v>0</v>
      </c>
      <c r="AI619" s="184">
        <v>0</v>
      </c>
      <c r="AJ619" s="643">
        <v>0</v>
      </c>
    </row>
    <row r="620" spans="1:36" x14ac:dyDescent="0.2">
      <c r="A620" s="440" t="s">
        <v>113</v>
      </c>
      <c r="B620" s="642">
        <v>10</v>
      </c>
      <c r="C620" s="184">
        <v>0</v>
      </c>
      <c r="D620" s="184">
        <v>9</v>
      </c>
      <c r="E620" s="184">
        <v>0</v>
      </c>
      <c r="F620" s="184">
        <v>1</v>
      </c>
      <c r="G620" s="184">
        <v>0</v>
      </c>
      <c r="H620" s="184">
        <v>0</v>
      </c>
      <c r="I620" s="184">
        <v>0</v>
      </c>
      <c r="J620" s="184">
        <v>0</v>
      </c>
      <c r="K620" s="184">
        <v>0</v>
      </c>
      <c r="L620" s="184">
        <v>0</v>
      </c>
      <c r="M620" s="654" t="s">
        <v>24</v>
      </c>
      <c r="N620" s="670" t="s">
        <v>113</v>
      </c>
      <c r="O620" s="642">
        <v>0</v>
      </c>
      <c r="P620" s="184">
        <v>0</v>
      </c>
      <c r="Q620" s="184">
        <v>0</v>
      </c>
      <c r="R620" s="184">
        <v>0</v>
      </c>
      <c r="S620" s="184">
        <v>0</v>
      </c>
      <c r="T620" s="184">
        <v>0</v>
      </c>
      <c r="U620" s="184">
        <v>6</v>
      </c>
      <c r="V620" s="184">
        <v>2</v>
      </c>
      <c r="W620" s="184">
        <v>1</v>
      </c>
      <c r="X620" s="184">
        <v>1</v>
      </c>
      <c r="Y620" s="184">
        <v>0</v>
      </c>
      <c r="Z620" s="184">
        <v>0</v>
      </c>
      <c r="AA620" s="184">
        <v>0</v>
      </c>
      <c r="AB620" s="184">
        <v>0</v>
      </c>
      <c r="AC620" s="185">
        <v>40.799999999999997</v>
      </c>
      <c r="AD620" s="185" t="s">
        <v>24</v>
      </c>
      <c r="AE620" s="184">
        <v>0</v>
      </c>
      <c r="AF620" s="185">
        <v>0</v>
      </c>
      <c r="AG620" s="184">
        <v>0</v>
      </c>
      <c r="AH620" s="185">
        <v>0</v>
      </c>
      <c r="AI620" s="184">
        <v>0</v>
      </c>
      <c r="AJ620" s="643">
        <v>0</v>
      </c>
    </row>
    <row r="621" spans="1:36" x14ac:dyDescent="0.2">
      <c r="A621" s="440" t="s">
        <v>114</v>
      </c>
      <c r="B621" s="642">
        <v>9</v>
      </c>
      <c r="C621" s="184">
        <v>0</v>
      </c>
      <c r="D621" s="184">
        <v>8</v>
      </c>
      <c r="E621" s="184">
        <v>0</v>
      </c>
      <c r="F621" s="184">
        <v>0</v>
      </c>
      <c r="G621" s="184">
        <v>1</v>
      </c>
      <c r="H621" s="184">
        <v>0</v>
      </c>
      <c r="I621" s="184">
        <v>0</v>
      </c>
      <c r="J621" s="184">
        <v>0</v>
      </c>
      <c r="K621" s="184">
        <v>0</v>
      </c>
      <c r="L621" s="184">
        <v>0</v>
      </c>
      <c r="M621" s="654" t="s">
        <v>24</v>
      </c>
      <c r="N621" s="670" t="s">
        <v>114</v>
      </c>
      <c r="O621" s="642">
        <v>0</v>
      </c>
      <c r="P621" s="184">
        <v>0</v>
      </c>
      <c r="Q621" s="184">
        <v>0</v>
      </c>
      <c r="R621" s="184">
        <v>0</v>
      </c>
      <c r="S621" s="184">
        <v>0</v>
      </c>
      <c r="T621" s="184">
        <v>2</v>
      </c>
      <c r="U621" s="184">
        <v>1</v>
      </c>
      <c r="V621" s="184">
        <v>4</v>
      </c>
      <c r="W621" s="184">
        <v>1</v>
      </c>
      <c r="X621" s="184">
        <v>1</v>
      </c>
      <c r="Y621" s="184">
        <v>0</v>
      </c>
      <c r="Z621" s="184">
        <v>0</v>
      </c>
      <c r="AA621" s="184">
        <v>0</v>
      </c>
      <c r="AB621" s="184">
        <v>0</v>
      </c>
      <c r="AC621" s="185">
        <v>42.3</v>
      </c>
      <c r="AD621" s="185" t="s">
        <v>24</v>
      </c>
      <c r="AE621" s="184">
        <v>0</v>
      </c>
      <c r="AF621" s="185">
        <v>0</v>
      </c>
      <c r="AG621" s="184">
        <v>0</v>
      </c>
      <c r="AH621" s="185">
        <v>0</v>
      </c>
      <c r="AI621" s="184">
        <v>0</v>
      </c>
      <c r="AJ621" s="643">
        <v>0</v>
      </c>
    </row>
    <row r="622" spans="1:36" x14ac:dyDescent="0.2">
      <c r="A622" s="440" t="s">
        <v>69</v>
      </c>
      <c r="B622" s="646">
        <v>10</v>
      </c>
      <c r="C622" s="186">
        <v>0</v>
      </c>
      <c r="D622" s="186">
        <v>9</v>
      </c>
      <c r="E622" s="186">
        <v>0</v>
      </c>
      <c r="F622" s="186">
        <v>1</v>
      </c>
      <c r="G622" s="186">
        <v>0</v>
      </c>
      <c r="H622" s="186">
        <v>0</v>
      </c>
      <c r="I622" s="186">
        <v>0</v>
      </c>
      <c r="J622" s="186">
        <v>0</v>
      </c>
      <c r="K622" s="186">
        <v>0</v>
      </c>
      <c r="L622" s="186">
        <v>0</v>
      </c>
      <c r="M622" s="656" t="s">
        <v>24</v>
      </c>
      <c r="N622" s="670" t="s">
        <v>69</v>
      </c>
      <c r="O622" s="646">
        <v>0</v>
      </c>
      <c r="P622" s="186">
        <v>0</v>
      </c>
      <c r="Q622" s="186">
        <v>0</v>
      </c>
      <c r="R622" s="186">
        <v>0</v>
      </c>
      <c r="S622" s="186">
        <v>0</v>
      </c>
      <c r="T622" s="186">
        <v>3</v>
      </c>
      <c r="U622" s="186">
        <v>4</v>
      </c>
      <c r="V622" s="186">
        <v>3</v>
      </c>
      <c r="W622" s="186">
        <v>0</v>
      </c>
      <c r="X622" s="186">
        <v>0</v>
      </c>
      <c r="Y622" s="186">
        <v>0</v>
      </c>
      <c r="Z622" s="186">
        <v>0</v>
      </c>
      <c r="AA622" s="186">
        <v>0</v>
      </c>
      <c r="AB622" s="186">
        <v>0</v>
      </c>
      <c r="AC622" s="187">
        <v>37.799999999999997</v>
      </c>
      <c r="AD622" s="187" t="s">
        <v>24</v>
      </c>
      <c r="AE622" s="186">
        <v>0</v>
      </c>
      <c r="AF622" s="187">
        <v>0</v>
      </c>
      <c r="AG622" s="186">
        <v>0</v>
      </c>
      <c r="AH622" s="187">
        <v>0</v>
      </c>
      <c r="AI622" s="186">
        <v>0</v>
      </c>
      <c r="AJ622" s="647">
        <v>0</v>
      </c>
    </row>
    <row r="623" spans="1:36" x14ac:dyDescent="0.2">
      <c r="A623" s="440" t="s">
        <v>115</v>
      </c>
      <c r="B623" s="642">
        <v>8</v>
      </c>
      <c r="C623" s="184">
        <v>0</v>
      </c>
      <c r="D623" s="184">
        <v>8</v>
      </c>
      <c r="E623" s="184">
        <v>0</v>
      </c>
      <c r="F623" s="184">
        <v>0</v>
      </c>
      <c r="G623" s="184">
        <v>0</v>
      </c>
      <c r="H623" s="184">
        <v>0</v>
      </c>
      <c r="I623" s="184">
        <v>0</v>
      </c>
      <c r="J623" s="184">
        <v>0</v>
      </c>
      <c r="K623" s="184">
        <v>0</v>
      </c>
      <c r="L623" s="184">
        <v>0</v>
      </c>
      <c r="M623" s="654" t="s">
        <v>24</v>
      </c>
      <c r="N623" s="670" t="s">
        <v>115</v>
      </c>
      <c r="O623" s="642">
        <v>0</v>
      </c>
      <c r="P623" s="184">
        <v>0</v>
      </c>
      <c r="Q623" s="184">
        <v>0</v>
      </c>
      <c r="R623" s="184">
        <v>0</v>
      </c>
      <c r="S623" s="184">
        <v>1</v>
      </c>
      <c r="T623" s="184">
        <v>1</v>
      </c>
      <c r="U623" s="184">
        <v>3</v>
      </c>
      <c r="V623" s="184">
        <v>2</v>
      </c>
      <c r="W623" s="184">
        <v>1</v>
      </c>
      <c r="X623" s="184">
        <v>0</v>
      </c>
      <c r="Y623" s="184">
        <v>0</v>
      </c>
      <c r="Z623" s="184">
        <v>0</v>
      </c>
      <c r="AA623" s="184">
        <v>0</v>
      </c>
      <c r="AB623" s="184">
        <v>0</v>
      </c>
      <c r="AC623" s="185">
        <v>38.6</v>
      </c>
      <c r="AD623" s="185" t="s">
        <v>24</v>
      </c>
      <c r="AE623" s="184">
        <v>0</v>
      </c>
      <c r="AF623" s="185">
        <v>0</v>
      </c>
      <c r="AG623" s="184">
        <v>0</v>
      </c>
      <c r="AH623" s="185">
        <v>0</v>
      </c>
      <c r="AI623" s="184">
        <v>0</v>
      </c>
      <c r="AJ623" s="643">
        <v>0</v>
      </c>
    </row>
    <row r="624" spans="1:36" x14ac:dyDescent="0.2">
      <c r="A624" s="440" t="s">
        <v>116</v>
      </c>
      <c r="B624" s="642">
        <v>13</v>
      </c>
      <c r="C624" s="184">
        <v>0</v>
      </c>
      <c r="D624" s="184">
        <v>13</v>
      </c>
      <c r="E624" s="184">
        <v>0</v>
      </c>
      <c r="F624" s="184">
        <v>0</v>
      </c>
      <c r="G624" s="184">
        <v>0</v>
      </c>
      <c r="H624" s="184">
        <v>0</v>
      </c>
      <c r="I624" s="184">
        <v>0</v>
      </c>
      <c r="J624" s="184">
        <v>0</v>
      </c>
      <c r="K624" s="184">
        <v>0</v>
      </c>
      <c r="L624" s="184">
        <v>0</v>
      </c>
      <c r="M624" s="654" t="s">
        <v>24</v>
      </c>
      <c r="N624" s="670" t="s">
        <v>116</v>
      </c>
      <c r="O624" s="642">
        <v>0</v>
      </c>
      <c r="P624" s="184">
        <v>0</v>
      </c>
      <c r="Q624" s="184">
        <v>0</v>
      </c>
      <c r="R624" s="184">
        <v>0</v>
      </c>
      <c r="S624" s="184">
        <v>2</v>
      </c>
      <c r="T624" s="184">
        <v>0</v>
      </c>
      <c r="U624" s="184">
        <v>5</v>
      </c>
      <c r="V624" s="184">
        <v>3</v>
      </c>
      <c r="W624" s="184">
        <v>2</v>
      </c>
      <c r="X624" s="184">
        <v>1</v>
      </c>
      <c r="Y624" s="184">
        <v>0</v>
      </c>
      <c r="Z624" s="184">
        <v>0</v>
      </c>
      <c r="AA624" s="184">
        <v>0</v>
      </c>
      <c r="AB624" s="184">
        <v>0</v>
      </c>
      <c r="AC624" s="185">
        <v>39.700000000000003</v>
      </c>
      <c r="AD624" s="185">
        <v>46.1</v>
      </c>
      <c r="AE624" s="184">
        <v>0</v>
      </c>
      <c r="AF624" s="185">
        <v>0</v>
      </c>
      <c r="AG624" s="184">
        <v>0</v>
      </c>
      <c r="AH624" s="185">
        <v>0</v>
      </c>
      <c r="AI624" s="184">
        <v>0</v>
      </c>
      <c r="AJ624" s="643">
        <v>0</v>
      </c>
    </row>
    <row r="625" spans="1:36" ht="13.5" thickBot="1" x14ac:dyDescent="0.25">
      <c r="A625" s="440" t="s">
        <v>117</v>
      </c>
      <c r="B625" s="644">
        <v>4</v>
      </c>
      <c r="C625" s="188">
        <v>1</v>
      </c>
      <c r="D625" s="188">
        <v>3</v>
      </c>
      <c r="E625" s="188">
        <v>0</v>
      </c>
      <c r="F625" s="188">
        <v>0</v>
      </c>
      <c r="G625" s="188">
        <v>0</v>
      </c>
      <c r="H625" s="188">
        <v>0</v>
      </c>
      <c r="I625" s="188">
        <v>0</v>
      </c>
      <c r="J625" s="188">
        <v>0</v>
      </c>
      <c r="K625" s="188">
        <v>0</v>
      </c>
      <c r="L625" s="188">
        <v>0</v>
      </c>
      <c r="M625" s="655" t="s">
        <v>24</v>
      </c>
      <c r="N625" s="670" t="s">
        <v>117</v>
      </c>
      <c r="O625" s="644">
        <v>0</v>
      </c>
      <c r="P625" s="188">
        <v>1</v>
      </c>
      <c r="Q625" s="188">
        <v>0</v>
      </c>
      <c r="R625" s="188">
        <v>0</v>
      </c>
      <c r="S625" s="188">
        <v>0</v>
      </c>
      <c r="T625" s="188">
        <v>2</v>
      </c>
      <c r="U625" s="188">
        <v>0</v>
      </c>
      <c r="V625" s="188">
        <v>1</v>
      </c>
      <c r="W625" s="188">
        <v>0</v>
      </c>
      <c r="X625" s="188">
        <v>0</v>
      </c>
      <c r="Y625" s="188">
        <v>0</v>
      </c>
      <c r="Z625" s="188">
        <v>0</v>
      </c>
      <c r="AA625" s="188">
        <v>0</v>
      </c>
      <c r="AB625" s="188">
        <v>0</v>
      </c>
      <c r="AC625" s="189">
        <v>29.3</v>
      </c>
      <c r="AD625" s="189" t="s">
        <v>24</v>
      </c>
      <c r="AE625" s="188">
        <v>0</v>
      </c>
      <c r="AF625" s="189">
        <v>0</v>
      </c>
      <c r="AG625" s="188">
        <v>0</v>
      </c>
      <c r="AH625" s="189">
        <v>0</v>
      </c>
      <c r="AI625" s="188">
        <v>0</v>
      </c>
      <c r="AJ625" s="645">
        <v>0</v>
      </c>
    </row>
    <row r="626" spans="1:36" x14ac:dyDescent="0.2">
      <c r="A626" s="440" t="s">
        <v>71</v>
      </c>
      <c r="B626" s="642">
        <v>3</v>
      </c>
      <c r="C626" s="184">
        <v>0</v>
      </c>
      <c r="D626" s="184">
        <v>3</v>
      </c>
      <c r="E626" s="184">
        <v>0</v>
      </c>
      <c r="F626" s="184">
        <v>0</v>
      </c>
      <c r="G626" s="184">
        <v>0</v>
      </c>
      <c r="H626" s="184">
        <v>0</v>
      </c>
      <c r="I626" s="184">
        <v>0</v>
      </c>
      <c r="J626" s="184">
        <v>0</v>
      </c>
      <c r="K626" s="184">
        <v>0</v>
      </c>
      <c r="L626" s="184">
        <v>0</v>
      </c>
      <c r="M626" s="654" t="s">
        <v>24</v>
      </c>
      <c r="N626" s="670" t="s">
        <v>71</v>
      </c>
      <c r="O626" s="642">
        <v>0</v>
      </c>
      <c r="P626" s="184">
        <v>0</v>
      </c>
      <c r="Q626" s="184">
        <v>0</v>
      </c>
      <c r="R626" s="184">
        <v>0</v>
      </c>
      <c r="S626" s="184">
        <v>0</v>
      </c>
      <c r="T626" s="184">
        <v>0</v>
      </c>
      <c r="U626" s="184">
        <v>3</v>
      </c>
      <c r="V626" s="184">
        <v>0</v>
      </c>
      <c r="W626" s="184">
        <v>0</v>
      </c>
      <c r="X626" s="184">
        <v>0</v>
      </c>
      <c r="Y626" s="184">
        <v>0</v>
      </c>
      <c r="Z626" s="184">
        <v>0</v>
      </c>
      <c r="AA626" s="184">
        <v>0</v>
      </c>
      <c r="AB626" s="184">
        <v>0</v>
      </c>
      <c r="AC626" s="185">
        <v>38.4</v>
      </c>
      <c r="AD626" s="185" t="s">
        <v>24</v>
      </c>
      <c r="AE626" s="184">
        <v>0</v>
      </c>
      <c r="AF626" s="185">
        <v>0</v>
      </c>
      <c r="AG626" s="184">
        <v>0</v>
      </c>
      <c r="AH626" s="185">
        <v>0</v>
      </c>
      <c r="AI626" s="184">
        <v>0</v>
      </c>
      <c r="AJ626" s="643">
        <v>0</v>
      </c>
    </row>
    <row r="627" spans="1:36" x14ac:dyDescent="0.2">
      <c r="A627" s="440" t="s">
        <v>118</v>
      </c>
      <c r="B627" s="642">
        <v>4</v>
      </c>
      <c r="C627" s="184">
        <v>0</v>
      </c>
      <c r="D627" s="184">
        <v>4</v>
      </c>
      <c r="E627" s="184">
        <v>0</v>
      </c>
      <c r="F627" s="184">
        <v>0</v>
      </c>
      <c r="G627" s="184">
        <v>0</v>
      </c>
      <c r="H627" s="184">
        <v>0</v>
      </c>
      <c r="I627" s="184">
        <v>0</v>
      </c>
      <c r="J627" s="184">
        <v>0</v>
      </c>
      <c r="K627" s="184">
        <v>0</v>
      </c>
      <c r="L627" s="184">
        <v>0</v>
      </c>
      <c r="M627" s="654" t="s">
        <v>24</v>
      </c>
      <c r="N627" s="670" t="s">
        <v>118</v>
      </c>
      <c r="O627" s="642">
        <v>0</v>
      </c>
      <c r="P627" s="184">
        <v>0</v>
      </c>
      <c r="Q627" s="184">
        <v>0</v>
      </c>
      <c r="R627" s="184">
        <v>0</v>
      </c>
      <c r="S627" s="184">
        <v>1</v>
      </c>
      <c r="T627" s="184">
        <v>0</v>
      </c>
      <c r="U627" s="184">
        <v>2</v>
      </c>
      <c r="V627" s="184">
        <v>1</v>
      </c>
      <c r="W627" s="184">
        <v>0</v>
      </c>
      <c r="X627" s="184">
        <v>0</v>
      </c>
      <c r="Y627" s="184">
        <v>0</v>
      </c>
      <c r="Z627" s="184">
        <v>0</v>
      </c>
      <c r="AA627" s="184">
        <v>0</v>
      </c>
      <c r="AB627" s="184">
        <v>0</v>
      </c>
      <c r="AC627" s="185">
        <v>36.1</v>
      </c>
      <c r="AD627" s="185" t="s">
        <v>24</v>
      </c>
      <c r="AE627" s="184">
        <v>0</v>
      </c>
      <c r="AF627" s="185">
        <v>0</v>
      </c>
      <c r="AG627" s="184">
        <v>0</v>
      </c>
      <c r="AH627" s="185">
        <v>0</v>
      </c>
      <c r="AI627" s="184">
        <v>0</v>
      </c>
      <c r="AJ627" s="643">
        <v>0</v>
      </c>
    </row>
    <row r="628" spans="1:36" x14ac:dyDescent="0.2">
      <c r="A628" s="440" t="s">
        <v>119</v>
      </c>
      <c r="B628" s="642">
        <v>3</v>
      </c>
      <c r="C628" s="184">
        <v>0</v>
      </c>
      <c r="D628" s="184">
        <v>3</v>
      </c>
      <c r="E628" s="184">
        <v>0</v>
      </c>
      <c r="F628" s="184">
        <v>0</v>
      </c>
      <c r="G628" s="184">
        <v>0</v>
      </c>
      <c r="H628" s="184">
        <v>0</v>
      </c>
      <c r="I628" s="184">
        <v>0</v>
      </c>
      <c r="J628" s="184">
        <v>0</v>
      </c>
      <c r="K628" s="184">
        <v>0</v>
      </c>
      <c r="L628" s="184">
        <v>0</v>
      </c>
      <c r="M628" s="654" t="s">
        <v>24</v>
      </c>
      <c r="N628" s="670" t="s">
        <v>119</v>
      </c>
      <c r="O628" s="642">
        <v>0</v>
      </c>
      <c r="P628" s="184">
        <v>0</v>
      </c>
      <c r="Q628" s="184">
        <v>0</v>
      </c>
      <c r="R628" s="184">
        <v>0</v>
      </c>
      <c r="S628" s="184">
        <v>0</v>
      </c>
      <c r="T628" s="184">
        <v>1</v>
      </c>
      <c r="U628" s="184">
        <v>0</v>
      </c>
      <c r="V628" s="184">
        <v>2</v>
      </c>
      <c r="W628" s="184">
        <v>0</v>
      </c>
      <c r="X628" s="184">
        <v>0</v>
      </c>
      <c r="Y628" s="184">
        <v>0</v>
      </c>
      <c r="Z628" s="184">
        <v>0</v>
      </c>
      <c r="AA628" s="184">
        <v>0</v>
      </c>
      <c r="AB628" s="184">
        <v>0</v>
      </c>
      <c r="AC628" s="185">
        <v>39.700000000000003</v>
      </c>
      <c r="AD628" s="185" t="s">
        <v>24</v>
      </c>
      <c r="AE628" s="184">
        <v>0</v>
      </c>
      <c r="AF628" s="185">
        <v>0</v>
      </c>
      <c r="AG628" s="184">
        <v>0</v>
      </c>
      <c r="AH628" s="185">
        <v>0</v>
      </c>
      <c r="AI628" s="184">
        <v>0</v>
      </c>
      <c r="AJ628" s="643">
        <v>0</v>
      </c>
    </row>
    <row r="629" spans="1:36" x14ac:dyDescent="0.2">
      <c r="A629" s="440" t="s">
        <v>120</v>
      </c>
      <c r="B629" s="642">
        <v>7</v>
      </c>
      <c r="C629" s="184">
        <v>0</v>
      </c>
      <c r="D629" s="184">
        <v>7</v>
      </c>
      <c r="E629" s="184">
        <v>0</v>
      </c>
      <c r="F629" s="184">
        <v>0</v>
      </c>
      <c r="G629" s="184">
        <v>0</v>
      </c>
      <c r="H629" s="184">
        <v>0</v>
      </c>
      <c r="I629" s="184">
        <v>0</v>
      </c>
      <c r="J629" s="184">
        <v>0</v>
      </c>
      <c r="K629" s="184">
        <v>0</v>
      </c>
      <c r="L629" s="184">
        <v>0</v>
      </c>
      <c r="M629" s="654" t="s">
        <v>24</v>
      </c>
      <c r="N629" s="670" t="s">
        <v>120</v>
      </c>
      <c r="O629" s="642">
        <v>0</v>
      </c>
      <c r="P629" s="184">
        <v>0</v>
      </c>
      <c r="Q629" s="184">
        <v>0</v>
      </c>
      <c r="R629" s="184">
        <v>0</v>
      </c>
      <c r="S629" s="184">
        <v>0</v>
      </c>
      <c r="T629" s="184">
        <v>3</v>
      </c>
      <c r="U629" s="184">
        <v>1</v>
      </c>
      <c r="V629" s="184">
        <v>3</v>
      </c>
      <c r="W629" s="184">
        <v>0</v>
      </c>
      <c r="X629" s="184">
        <v>0</v>
      </c>
      <c r="Y629" s="184">
        <v>0</v>
      </c>
      <c r="Z629" s="184">
        <v>0</v>
      </c>
      <c r="AA629" s="184">
        <v>0</v>
      </c>
      <c r="AB629" s="184">
        <v>0</v>
      </c>
      <c r="AC629" s="185">
        <v>38.5</v>
      </c>
      <c r="AD629" s="185" t="s">
        <v>24</v>
      </c>
      <c r="AE629" s="184">
        <v>0</v>
      </c>
      <c r="AF629" s="185">
        <v>0</v>
      </c>
      <c r="AG629" s="184">
        <v>0</v>
      </c>
      <c r="AH629" s="185">
        <v>0</v>
      </c>
      <c r="AI629" s="184">
        <v>0</v>
      </c>
      <c r="AJ629" s="643">
        <v>0</v>
      </c>
    </row>
    <row r="630" spans="1:36" x14ac:dyDescent="0.2">
      <c r="A630" s="440" t="s">
        <v>72</v>
      </c>
      <c r="B630" s="642">
        <v>7</v>
      </c>
      <c r="C630" s="184">
        <v>0</v>
      </c>
      <c r="D630" s="184">
        <v>7</v>
      </c>
      <c r="E630" s="184">
        <v>0</v>
      </c>
      <c r="F630" s="184">
        <v>0</v>
      </c>
      <c r="G630" s="184">
        <v>0</v>
      </c>
      <c r="H630" s="184">
        <v>0</v>
      </c>
      <c r="I630" s="184">
        <v>0</v>
      </c>
      <c r="J630" s="184">
        <v>0</v>
      </c>
      <c r="K630" s="184">
        <v>0</v>
      </c>
      <c r="L630" s="184">
        <v>0</v>
      </c>
      <c r="M630" s="654" t="s">
        <v>24</v>
      </c>
      <c r="N630" s="670" t="s">
        <v>72</v>
      </c>
      <c r="O630" s="642">
        <v>0</v>
      </c>
      <c r="P630" s="184">
        <v>0</v>
      </c>
      <c r="Q630" s="184">
        <v>0</v>
      </c>
      <c r="R630" s="184">
        <v>0</v>
      </c>
      <c r="S630" s="184">
        <v>2</v>
      </c>
      <c r="T630" s="184">
        <v>1</v>
      </c>
      <c r="U630" s="184">
        <v>0</v>
      </c>
      <c r="V630" s="184">
        <v>4</v>
      </c>
      <c r="W630" s="184">
        <v>0</v>
      </c>
      <c r="X630" s="184">
        <v>0</v>
      </c>
      <c r="Y630" s="184">
        <v>0</v>
      </c>
      <c r="Z630" s="184">
        <v>0</v>
      </c>
      <c r="AA630" s="184">
        <v>0</v>
      </c>
      <c r="AB630" s="184">
        <v>0</v>
      </c>
      <c r="AC630" s="185">
        <v>37.200000000000003</v>
      </c>
      <c r="AD630" s="185" t="s">
        <v>24</v>
      </c>
      <c r="AE630" s="184">
        <v>0</v>
      </c>
      <c r="AF630" s="185">
        <v>0</v>
      </c>
      <c r="AG630" s="184">
        <v>0</v>
      </c>
      <c r="AH630" s="185">
        <v>0</v>
      </c>
      <c r="AI630" s="184">
        <v>0</v>
      </c>
      <c r="AJ630" s="643">
        <v>0</v>
      </c>
    </row>
    <row r="631" spans="1:36" x14ac:dyDescent="0.2">
      <c r="A631" s="440" t="s">
        <v>121</v>
      </c>
      <c r="B631" s="642">
        <v>4</v>
      </c>
      <c r="C631" s="184">
        <v>0</v>
      </c>
      <c r="D631" s="184">
        <v>4</v>
      </c>
      <c r="E631" s="184">
        <v>0</v>
      </c>
      <c r="F631" s="184">
        <v>0</v>
      </c>
      <c r="G631" s="184">
        <v>0</v>
      </c>
      <c r="H631" s="184">
        <v>0</v>
      </c>
      <c r="I631" s="184">
        <v>0</v>
      </c>
      <c r="J631" s="184">
        <v>0</v>
      </c>
      <c r="K631" s="184">
        <v>0</v>
      </c>
      <c r="L631" s="184">
        <v>0</v>
      </c>
      <c r="M631" s="654" t="s">
        <v>24</v>
      </c>
      <c r="N631" s="670" t="s">
        <v>121</v>
      </c>
      <c r="O631" s="642">
        <v>0</v>
      </c>
      <c r="P631" s="184">
        <v>0</v>
      </c>
      <c r="Q631" s="184">
        <v>0</v>
      </c>
      <c r="R631" s="184">
        <v>0</v>
      </c>
      <c r="S631" s="184">
        <v>0</v>
      </c>
      <c r="T631" s="184">
        <v>0</v>
      </c>
      <c r="U631" s="184">
        <v>1</v>
      </c>
      <c r="V631" s="184">
        <v>2</v>
      </c>
      <c r="W631" s="184">
        <v>0</v>
      </c>
      <c r="X631" s="184">
        <v>1</v>
      </c>
      <c r="Y631" s="184">
        <v>0</v>
      </c>
      <c r="Z631" s="184">
        <v>0</v>
      </c>
      <c r="AA631" s="184">
        <v>0</v>
      </c>
      <c r="AB631" s="184">
        <v>0</v>
      </c>
      <c r="AC631" s="185">
        <v>45.4</v>
      </c>
      <c r="AD631" s="185" t="s">
        <v>24</v>
      </c>
      <c r="AE631" s="184">
        <v>0</v>
      </c>
      <c r="AF631" s="185">
        <v>0</v>
      </c>
      <c r="AG631" s="184">
        <v>0</v>
      </c>
      <c r="AH631" s="185">
        <v>0</v>
      </c>
      <c r="AI631" s="184">
        <v>0</v>
      </c>
      <c r="AJ631" s="643">
        <v>0</v>
      </c>
    </row>
    <row r="632" spans="1:36" x14ac:dyDescent="0.2">
      <c r="A632" s="440" t="s">
        <v>122</v>
      </c>
      <c r="B632" s="642">
        <v>2</v>
      </c>
      <c r="C632" s="184">
        <v>0</v>
      </c>
      <c r="D632" s="184">
        <v>2</v>
      </c>
      <c r="E632" s="184">
        <v>0</v>
      </c>
      <c r="F632" s="184">
        <v>0</v>
      </c>
      <c r="G632" s="184">
        <v>0</v>
      </c>
      <c r="H632" s="184">
        <v>0</v>
      </c>
      <c r="I632" s="184">
        <v>0</v>
      </c>
      <c r="J632" s="184">
        <v>0</v>
      </c>
      <c r="K632" s="184">
        <v>0</v>
      </c>
      <c r="L632" s="184">
        <v>0</v>
      </c>
      <c r="M632" s="654" t="s">
        <v>24</v>
      </c>
      <c r="N632" s="670" t="s">
        <v>122</v>
      </c>
      <c r="O632" s="642">
        <v>0</v>
      </c>
      <c r="P632" s="184">
        <v>0</v>
      </c>
      <c r="Q632" s="184">
        <v>0</v>
      </c>
      <c r="R632" s="184">
        <v>0</v>
      </c>
      <c r="S632" s="184">
        <v>0</v>
      </c>
      <c r="T632" s="184">
        <v>0</v>
      </c>
      <c r="U632" s="184">
        <v>1</v>
      </c>
      <c r="V632" s="184">
        <v>1</v>
      </c>
      <c r="W632" s="184">
        <v>0</v>
      </c>
      <c r="X632" s="184">
        <v>0</v>
      </c>
      <c r="Y632" s="184">
        <v>0</v>
      </c>
      <c r="Z632" s="184">
        <v>0</v>
      </c>
      <c r="AA632" s="184">
        <v>0</v>
      </c>
      <c r="AB632" s="184">
        <v>0</v>
      </c>
      <c r="AC632" s="185">
        <v>41</v>
      </c>
      <c r="AD632" s="185" t="s">
        <v>24</v>
      </c>
      <c r="AE632" s="184">
        <v>0</v>
      </c>
      <c r="AF632" s="185">
        <v>0</v>
      </c>
      <c r="AG632" s="184">
        <v>0</v>
      </c>
      <c r="AH632" s="185">
        <v>0</v>
      </c>
      <c r="AI632" s="184">
        <v>0</v>
      </c>
      <c r="AJ632" s="643">
        <v>0</v>
      </c>
    </row>
    <row r="633" spans="1:36" x14ac:dyDescent="0.2">
      <c r="A633" s="440" t="s">
        <v>123</v>
      </c>
      <c r="B633" s="642">
        <v>5</v>
      </c>
      <c r="C633" s="184">
        <v>0</v>
      </c>
      <c r="D633" s="184">
        <v>5</v>
      </c>
      <c r="E633" s="184">
        <v>0</v>
      </c>
      <c r="F633" s="184">
        <v>0</v>
      </c>
      <c r="G633" s="184">
        <v>0</v>
      </c>
      <c r="H633" s="184">
        <v>0</v>
      </c>
      <c r="I633" s="184">
        <v>0</v>
      </c>
      <c r="J633" s="184">
        <v>0</v>
      </c>
      <c r="K633" s="184">
        <v>0</v>
      </c>
      <c r="L633" s="184">
        <v>0</v>
      </c>
      <c r="M633" s="654" t="s">
        <v>24</v>
      </c>
      <c r="N633" s="670" t="s">
        <v>123</v>
      </c>
      <c r="O633" s="642">
        <v>0</v>
      </c>
      <c r="P633" s="184">
        <v>0</v>
      </c>
      <c r="Q633" s="184">
        <v>0</v>
      </c>
      <c r="R633" s="184">
        <v>0</v>
      </c>
      <c r="S633" s="184">
        <v>0</v>
      </c>
      <c r="T633" s="184">
        <v>0</v>
      </c>
      <c r="U633" s="184">
        <v>5</v>
      </c>
      <c r="V633" s="184">
        <v>0</v>
      </c>
      <c r="W633" s="184">
        <v>0</v>
      </c>
      <c r="X633" s="184">
        <v>0</v>
      </c>
      <c r="Y633" s="184">
        <v>0</v>
      </c>
      <c r="Z633" s="184">
        <v>0</v>
      </c>
      <c r="AA633" s="184">
        <v>0</v>
      </c>
      <c r="AB633" s="184">
        <v>0</v>
      </c>
      <c r="AC633" s="185">
        <v>37.6</v>
      </c>
      <c r="AD633" s="185" t="s">
        <v>24</v>
      </c>
      <c r="AE633" s="184">
        <v>0</v>
      </c>
      <c r="AF633" s="185">
        <v>0</v>
      </c>
      <c r="AG633" s="184">
        <v>0</v>
      </c>
      <c r="AH633" s="185">
        <v>0</v>
      </c>
      <c r="AI633" s="184">
        <v>0</v>
      </c>
      <c r="AJ633" s="643">
        <v>0</v>
      </c>
    </row>
    <row r="634" spans="1:36" x14ac:dyDescent="0.2">
      <c r="A634" s="440" t="s">
        <v>74</v>
      </c>
      <c r="B634" s="642">
        <v>1</v>
      </c>
      <c r="C634" s="184">
        <v>0</v>
      </c>
      <c r="D634" s="184">
        <v>1</v>
      </c>
      <c r="E634" s="184">
        <v>0</v>
      </c>
      <c r="F634" s="184">
        <v>0</v>
      </c>
      <c r="G634" s="184">
        <v>0</v>
      </c>
      <c r="H634" s="184">
        <v>0</v>
      </c>
      <c r="I634" s="184">
        <v>0</v>
      </c>
      <c r="J634" s="184">
        <v>0</v>
      </c>
      <c r="K634" s="184">
        <v>0</v>
      </c>
      <c r="L634" s="184">
        <v>0</v>
      </c>
      <c r="M634" s="654" t="s">
        <v>24</v>
      </c>
      <c r="N634" s="670" t="s">
        <v>74</v>
      </c>
      <c r="O634" s="642">
        <v>0</v>
      </c>
      <c r="P634" s="184">
        <v>0</v>
      </c>
      <c r="Q634" s="184">
        <v>0</v>
      </c>
      <c r="R634" s="184">
        <v>0</v>
      </c>
      <c r="S634" s="184">
        <v>0</v>
      </c>
      <c r="T634" s="184">
        <v>0</v>
      </c>
      <c r="U634" s="184">
        <v>1</v>
      </c>
      <c r="V634" s="184">
        <v>0</v>
      </c>
      <c r="W634" s="184">
        <v>0</v>
      </c>
      <c r="X634" s="184">
        <v>0</v>
      </c>
      <c r="Y634" s="184">
        <v>0</v>
      </c>
      <c r="Z634" s="184">
        <v>0</v>
      </c>
      <c r="AA634" s="184">
        <v>0</v>
      </c>
      <c r="AB634" s="184">
        <v>0</v>
      </c>
      <c r="AC634" s="185">
        <v>37.200000000000003</v>
      </c>
      <c r="AD634" s="185" t="s">
        <v>24</v>
      </c>
      <c r="AE634" s="184">
        <v>0</v>
      </c>
      <c r="AF634" s="185">
        <v>0</v>
      </c>
      <c r="AG634" s="184">
        <v>0</v>
      </c>
      <c r="AH634" s="185">
        <v>0</v>
      </c>
      <c r="AI634" s="184">
        <v>0</v>
      </c>
      <c r="AJ634" s="643">
        <v>0</v>
      </c>
    </row>
    <row r="635" spans="1:36" x14ac:dyDescent="0.2">
      <c r="A635" s="440" t="s">
        <v>124</v>
      </c>
      <c r="B635" s="642">
        <v>6</v>
      </c>
      <c r="C635" s="184">
        <v>0</v>
      </c>
      <c r="D635" s="184">
        <v>6</v>
      </c>
      <c r="E635" s="184">
        <v>0</v>
      </c>
      <c r="F635" s="184">
        <v>0</v>
      </c>
      <c r="G635" s="184">
        <v>0</v>
      </c>
      <c r="H635" s="184">
        <v>0</v>
      </c>
      <c r="I635" s="184">
        <v>0</v>
      </c>
      <c r="J635" s="184">
        <v>0</v>
      </c>
      <c r="K635" s="184">
        <v>0</v>
      </c>
      <c r="L635" s="184">
        <v>0</v>
      </c>
      <c r="M635" s="654" t="s">
        <v>24</v>
      </c>
      <c r="N635" s="670" t="s">
        <v>124</v>
      </c>
      <c r="O635" s="642">
        <v>0</v>
      </c>
      <c r="P635" s="184">
        <v>0</v>
      </c>
      <c r="Q635" s="184">
        <v>0</v>
      </c>
      <c r="R635" s="184">
        <v>0</v>
      </c>
      <c r="S635" s="184">
        <v>0</v>
      </c>
      <c r="T635" s="184">
        <v>1</v>
      </c>
      <c r="U635" s="184">
        <v>0</v>
      </c>
      <c r="V635" s="184">
        <v>3</v>
      </c>
      <c r="W635" s="184">
        <v>2</v>
      </c>
      <c r="X635" s="184">
        <v>0</v>
      </c>
      <c r="Y635" s="184">
        <v>0</v>
      </c>
      <c r="Z635" s="184">
        <v>0</v>
      </c>
      <c r="AA635" s="184">
        <v>0</v>
      </c>
      <c r="AB635" s="184">
        <v>0</v>
      </c>
      <c r="AC635" s="185">
        <v>41.6</v>
      </c>
      <c r="AD635" s="185" t="s">
        <v>24</v>
      </c>
      <c r="AE635" s="184">
        <v>0</v>
      </c>
      <c r="AF635" s="185">
        <v>0</v>
      </c>
      <c r="AG635" s="184">
        <v>0</v>
      </c>
      <c r="AH635" s="185">
        <v>0</v>
      </c>
      <c r="AI635" s="184">
        <v>0</v>
      </c>
      <c r="AJ635" s="643">
        <v>0</v>
      </c>
    </row>
    <row r="636" spans="1:36" x14ac:dyDescent="0.2">
      <c r="A636" s="440" t="s">
        <v>125</v>
      </c>
      <c r="B636" s="642">
        <v>4</v>
      </c>
      <c r="C636" s="184">
        <v>0</v>
      </c>
      <c r="D636" s="184">
        <v>4</v>
      </c>
      <c r="E636" s="184">
        <v>0</v>
      </c>
      <c r="F636" s="184">
        <v>0</v>
      </c>
      <c r="G636" s="184">
        <v>0</v>
      </c>
      <c r="H636" s="184">
        <v>0</v>
      </c>
      <c r="I636" s="184">
        <v>0</v>
      </c>
      <c r="J636" s="184">
        <v>0</v>
      </c>
      <c r="K636" s="184">
        <v>0</v>
      </c>
      <c r="L636" s="184">
        <v>0</v>
      </c>
      <c r="M636" s="654" t="s">
        <v>24</v>
      </c>
      <c r="N636" s="670" t="s">
        <v>125</v>
      </c>
      <c r="O636" s="642">
        <v>0</v>
      </c>
      <c r="P636" s="184">
        <v>0</v>
      </c>
      <c r="Q636" s="184">
        <v>0</v>
      </c>
      <c r="R636" s="184">
        <v>0</v>
      </c>
      <c r="S636" s="184">
        <v>0</v>
      </c>
      <c r="T636" s="184">
        <v>1</v>
      </c>
      <c r="U636" s="184">
        <v>3</v>
      </c>
      <c r="V636" s="184">
        <v>0</v>
      </c>
      <c r="W636" s="184">
        <v>0</v>
      </c>
      <c r="X636" s="184">
        <v>0</v>
      </c>
      <c r="Y636" s="184">
        <v>0</v>
      </c>
      <c r="Z636" s="184">
        <v>0</v>
      </c>
      <c r="AA636" s="184">
        <v>0</v>
      </c>
      <c r="AB636" s="184">
        <v>0</v>
      </c>
      <c r="AC636" s="185">
        <v>36.299999999999997</v>
      </c>
      <c r="AD636" s="185" t="s">
        <v>24</v>
      </c>
      <c r="AE636" s="184">
        <v>0</v>
      </c>
      <c r="AF636" s="185">
        <v>0</v>
      </c>
      <c r="AG636" s="184">
        <v>0</v>
      </c>
      <c r="AH636" s="185">
        <v>0</v>
      </c>
      <c r="AI636" s="184">
        <v>0</v>
      </c>
      <c r="AJ636" s="643">
        <v>0</v>
      </c>
    </row>
    <row r="637" spans="1:36" x14ac:dyDescent="0.2">
      <c r="A637" s="440" t="s">
        <v>126</v>
      </c>
      <c r="B637" s="642">
        <v>1</v>
      </c>
      <c r="C637" s="184">
        <v>0</v>
      </c>
      <c r="D637" s="184">
        <v>1</v>
      </c>
      <c r="E637" s="184">
        <v>0</v>
      </c>
      <c r="F637" s="184">
        <v>0</v>
      </c>
      <c r="G637" s="184">
        <v>0</v>
      </c>
      <c r="H637" s="184">
        <v>0</v>
      </c>
      <c r="I637" s="184">
        <v>0</v>
      </c>
      <c r="J637" s="184">
        <v>0</v>
      </c>
      <c r="K637" s="184">
        <v>0</v>
      </c>
      <c r="L637" s="184">
        <v>0</v>
      </c>
      <c r="M637" s="654" t="s">
        <v>24</v>
      </c>
      <c r="N637" s="670" t="s">
        <v>126</v>
      </c>
      <c r="O637" s="642">
        <v>0</v>
      </c>
      <c r="P637" s="184">
        <v>0</v>
      </c>
      <c r="Q637" s="184">
        <v>0</v>
      </c>
      <c r="R637" s="184">
        <v>0</v>
      </c>
      <c r="S637" s="184">
        <v>0</v>
      </c>
      <c r="T637" s="184">
        <v>0</v>
      </c>
      <c r="U637" s="184">
        <v>0</v>
      </c>
      <c r="V637" s="184">
        <v>0</v>
      </c>
      <c r="W637" s="184">
        <v>0</v>
      </c>
      <c r="X637" s="184">
        <v>0</v>
      </c>
      <c r="Y637" s="184">
        <v>1</v>
      </c>
      <c r="Z637" s="184">
        <v>0</v>
      </c>
      <c r="AA637" s="184">
        <v>0</v>
      </c>
      <c r="AB637" s="184">
        <v>0</v>
      </c>
      <c r="AC637" s="185">
        <v>61.4</v>
      </c>
      <c r="AD637" s="185" t="s">
        <v>24</v>
      </c>
      <c r="AE637" s="184">
        <v>1</v>
      </c>
      <c r="AF637" s="185">
        <v>100</v>
      </c>
      <c r="AG637" s="184">
        <v>0</v>
      </c>
      <c r="AH637" s="185">
        <v>0</v>
      </c>
      <c r="AI637" s="184">
        <v>0</v>
      </c>
      <c r="AJ637" s="643">
        <v>0</v>
      </c>
    </row>
    <row r="638" spans="1:36" x14ac:dyDescent="0.2">
      <c r="A638" s="440" t="s">
        <v>76</v>
      </c>
      <c r="B638" s="642">
        <v>0</v>
      </c>
      <c r="C638" s="184">
        <v>0</v>
      </c>
      <c r="D638" s="184">
        <v>0</v>
      </c>
      <c r="E638" s="184">
        <v>0</v>
      </c>
      <c r="F638" s="184">
        <v>0</v>
      </c>
      <c r="G638" s="184">
        <v>0</v>
      </c>
      <c r="H638" s="184">
        <v>0</v>
      </c>
      <c r="I638" s="184">
        <v>0</v>
      </c>
      <c r="J638" s="184">
        <v>0</v>
      </c>
      <c r="K638" s="184">
        <v>0</v>
      </c>
      <c r="L638" s="184">
        <v>0</v>
      </c>
      <c r="M638" s="654" t="s">
        <v>24</v>
      </c>
      <c r="N638" s="670" t="s">
        <v>76</v>
      </c>
      <c r="O638" s="642">
        <v>0</v>
      </c>
      <c r="P638" s="184">
        <v>0</v>
      </c>
      <c r="Q638" s="184">
        <v>0</v>
      </c>
      <c r="R638" s="184">
        <v>0</v>
      </c>
      <c r="S638" s="184">
        <v>0</v>
      </c>
      <c r="T638" s="184">
        <v>0</v>
      </c>
      <c r="U638" s="184">
        <v>0</v>
      </c>
      <c r="V638" s="184">
        <v>0</v>
      </c>
      <c r="W638" s="184">
        <v>0</v>
      </c>
      <c r="X638" s="184">
        <v>0</v>
      </c>
      <c r="Y638" s="184">
        <v>0</v>
      </c>
      <c r="Z638" s="184">
        <v>0</v>
      </c>
      <c r="AA638" s="184">
        <v>0</v>
      </c>
      <c r="AB638" s="184">
        <v>0</v>
      </c>
      <c r="AC638" s="185" t="s">
        <v>24</v>
      </c>
      <c r="AD638" s="185" t="s">
        <v>24</v>
      </c>
      <c r="AE638" s="184">
        <v>0</v>
      </c>
      <c r="AF638" s="185">
        <v>0</v>
      </c>
      <c r="AG638" s="184">
        <v>0</v>
      </c>
      <c r="AH638" s="185">
        <v>0</v>
      </c>
      <c r="AI638" s="184">
        <v>0</v>
      </c>
      <c r="AJ638" s="643">
        <v>0</v>
      </c>
    </row>
    <row r="639" spans="1:36" x14ac:dyDescent="0.2">
      <c r="A639" s="440" t="s">
        <v>127</v>
      </c>
      <c r="B639" s="642">
        <v>3</v>
      </c>
      <c r="C639" s="184">
        <v>0</v>
      </c>
      <c r="D639" s="184">
        <v>3</v>
      </c>
      <c r="E639" s="184">
        <v>0</v>
      </c>
      <c r="F639" s="184">
        <v>0</v>
      </c>
      <c r="G639" s="184">
        <v>0</v>
      </c>
      <c r="H639" s="184">
        <v>0</v>
      </c>
      <c r="I639" s="184">
        <v>0</v>
      </c>
      <c r="J639" s="184">
        <v>0</v>
      </c>
      <c r="K639" s="184">
        <v>0</v>
      </c>
      <c r="L639" s="184">
        <v>0</v>
      </c>
      <c r="M639" s="654" t="s">
        <v>24</v>
      </c>
      <c r="N639" s="670" t="s">
        <v>127</v>
      </c>
      <c r="O639" s="642">
        <v>0</v>
      </c>
      <c r="P639" s="184">
        <v>0</v>
      </c>
      <c r="Q639" s="184">
        <v>0</v>
      </c>
      <c r="R639" s="184">
        <v>0</v>
      </c>
      <c r="S639" s="184">
        <v>0</v>
      </c>
      <c r="T639" s="184">
        <v>0</v>
      </c>
      <c r="U639" s="184">
        <v>2</v>
      </c>
      <c r="V639" s="184">
        <v>0</v>
      </c>
      <c r="W639" s="184">
        <v>1</v>
      </c>
      <c r="X639" s="184">
        <v>0</v>
      </c>
      <c r="Y639" s="184">
        <v>0</v>
      </c>
      <c r="Z639" s="184">
        <v>0</v>
      </c>
      <c r="AA639" s="184">
        <v>0</v>
      </c>
      <c r="AB639" s="184">
        <v>0</v>
      </c>
      <c r="AC639" s="185">
        <v>39.9</v>
      </c>
      <c r="AD639" s="185" t="s">
        <v>24</v>
      </c>
      <c r="AE639" s="184">
        <v>0</v>
      </c>
      <c r="AF639" s="185">
        <v>0</v>
      </c>
      <c r="AG639" s="184">
        <v>0</v>
      </c>
      <c r="AH639" s="185">
        <v>0</v>
      </c>
      <c r="AI639" s="184">
        <v>0</v>
      </c>
      <c r="AJ639" s="643">
        <v>0</v>
      </c>
    </row>
    <row r="640" spans="1:36" x14ac:dyDescent="0.2">
      <c r="A640" s="440" t="s">
        <v>128</v>
      </c>
      <c r="B640" s="642">
        <v>3</v>
      </c>
      <c r="C640" s="184">
        <v>0</v>
      </c>
      <c r="D640" s="184">
        <v>3</v>
      </c>
      <c r="E640" s="184">
        <v>0</v>
      </c>
      <c r="F640" s="184">
        <v>0</v>
      </c>
      <c r="G640" s="184">
        <v>0</v>
      </c>
      <c r="H640" s="184">
        <v>0</v>
      </c>
      <c r="I640" s="184">
        <v>0</v>
      </c>
      <c r="J640" s="184">
        <v>0</v>
      </c>
      <c r="K640" s="184">
        <v>0</v>
      </c>
      <c r="L640" s="184">
        <v>0</v>
      </c>
      <c r="M640" s="654" t="s">
        <v>24</v>
      </c>
      <c r="N640" s="670" t="s">
        <v>128</v>
      </c>
      <c r="O640" s="642">
        <v>0</v>
      </c>
      <c r="P640" s="184">
        <v>0</v>
      </c>
      <c r="Q640" s="184">
        <v>0</v>
      </c>
      <c r="R640" s="184">
        <v>0</v>
      </c>
      <c r="S640" s="184">
        <v>0</v>
      </c>
      <c r="T640" s="184">
        <v>0</v>
      </c>
      <c r="U640" s="184">
        <v>0</v>
      </c>
      <c r="V640" s="184">
        <v>2</v>
      </c>
      <c r="W640" s="184">
        <v>1</v>
      </c>
      <c r="X640" s="184">
        <v>0</v>
      </c>
      <c r="Y640" s="184">
        <v>0</v>
      </c>
      <c r="Z640" s="184">
        <v>0</v>
      </c>
      <c r="AA640" s="184">
        <v>0</v>
      </c>
      <c r="AB640" s="184">
        <v>0</v>
      </c>
      <c r="AC640" s="185">
        <v>45.2</v>
      </c>
      <c r="AD640" s="185" t="s">
        <v>24</v>
      </c>
      <c r="AE640" s="184">
        <v>0</v>
      </c>
      <c r="AF640" s="185">
        <v>0</v>
      </c>
      <c r="AG640" s="184">
        <v>0</v>
      </c>
      <c r="AH640" s="185">
        <v>0</v>
      </c>
      <c r="AI640" s="184">
        <v>0</v>
      </c>
      <c r="AJ640" s="643">
        <v>0</v>
      </c>
    </row>
    <row r="641" spans="1:36" x14ac:dyDescent="0.2">
      <c r="A641" s="440" t="s">
        <v>129</v>
      </c>
      <c r="B641" s="642">
        <v>1</v>
      </c>
      <c r="C641" s="184">
        <v>0</v>
      </c>
      <c r="D641" s="184">
        <v>1</v>
      </c>
      <c r="E641" s="184">
        <v>0</v>
      </c>
      <c r="F641" s="184">
        <v>0</v>
      </c>
      <c r="G641" s="184">
        <v>0</v>
      </c>
      <c r="H641" s="184">
        <v>0</v>
      </c>
      <c r="I641" s="184">
        <v>0</v>
      </c>
      <c r="J641" s="184">
        <v>0</v>
      </c>
      <c r="K641" s="184">
        <v>0</v>
      </c>
      <c r="L641" s="184">
        <v>0</v>
      </c>
      <c r="M641" s="654" t="s">
        <v>24</v>
      </c>
      <c r="N641" s="670" t="s">
        <v>129</v>
      </c>
      <c r="O641" s="642">
        <v>0</v>
      </c>
      <c r="P641" s="184">
        <v>0</v>
      </c>
      <c r="Q641" s="184">
        <v>0</v>
      </c>
      <c r="R641" s="184">
        <v>0</v>
      </c>
      <c r="S641" s="184">
        <v>0</v>
      </c>
      <c r="T641" s="184">
        <v>0</v>
      </c>
      <c r="U641" s="184">
        <v>0</v>
      </c>
      <c r="V641" s="184">
        <v>0</v>
      </c>
      <c r="W641" s="184">
        <v>1</v>
      </c>
      <c r="X641" s="184">
        <v>0</v>
      </c>
      <c r="Y641" s="184">
        <v>0</v>
      </c>
      <c r="Z641" s="184">
        <v>0</v>
      </c>
      <c r="AA641" s="184">
        <v>0</v>
      </c>
      <c r="AB641" s="184">
        <v>0</v>
      </c>
      <c r="AC641" s="185">
        <v>48</v>
      </c>
      <c r="AD641" s="185" t="s">
        <v>24</v>
      </c>
      <c r="AE641" s="184">
        <v>0</v>
      </c>
      <c r="AF641" s="185">
        <v>0</v>
      </c>
      <c r="AG641" s="184">
        <v>0</v>
      </c>
      <c r="AH641" s="185">
        <v>0</v>
      </c>
      <c r="AI641" s="184">
        <v>0</v>
      </c>
      <c r="AJ641" s="643">
        <v>0</v>
      </c>
    </row>
    <row r="642" spans="1:36" x14ac:dyDescent="0.2">
      <c r="A642" s="440" t="s">
        <v>78</v>
      </c>
      <c r="B642" s="642">
        <v>1</v>
      </c>
      <c r="C642" s="184">
        <v>0</v>
      </c>
      <c r="D642" s="184">
        <v>1</v>
      </c>
      <c r="E642" s="184">
        <v>0</v>
      </c>
      <c r="F642" s="184">
        <v>0</v>
      </c>
      <c r="G642" s="184">
        <v>0</v>
      </c>
      <c r="H642" s="184">
        <v>0</v>
      </c>
      <c r="I642" s="184">
        <v>0</v>
      </c>
      <c r="J642" s="184">
        <v>0</v>
      </c>
      <c r="K642" s="184">
        <v>0</v>
      </c>
      <c r="L642" s="184">
        <v>0</v>
      </c>
      <c r="M642" s="654" t="s">
        <v>24</v>
      </c>
      <c r="N642" s="670" t="s">
        <v>78</v>
      </c>
      <c r="O642" s="642">
        <v>0</v>
      </c>
      <c r="P642" s="184">
        <v>0</v>
      </c>
      <c r="Q642" s="184">
        <v>0</v>
      </c>
      <c r="R642" s="184">
        <v>0</v>
      </c>
      <c r="S642" s="184">
        <v>0</v>
      </c>
      <c r="T642" s="184">
        <v>0</v>
      </c>
      <c r="U642" s="184">
        <v>0</v>
      </c>
      <c r="V642" s="184">
        <v>0</v>
      </c>
      <c r="W642" s="184">
        <v>1</v>
      </c>
      <c r="X642" s="184">
        <v>0</v>
      </c>
      <c r="Y642" s="184">
        <v>0</v>
      </c>
      <c r="Z642" s="184">
        <v>0</v>
      </c>
      <c r="AA642" s="184">
        <v>0</v>
      </c>
      <c r="AB642" s="184">
        <v>0</v>
      </c>
      <c r="AC642" s="185">
        <v>49.9</v>
      </c>
      <c r="AD642" s="185" t="s">
        <v>24</v>
      </c>
      <c r="AE642" s="184">
        <v>0</v>
      </c>
      <c r="AF642" s="185">
        <v>0</v>
      </c>
      <c r="AG642" s="184">
        <v>0</v>
      </c>
      <c r="AH642" s="185">
        <v>0</v>
      </c>
      <c r="AI642" s="184">
        <v>0</v>
      </c>
      <c r="AJ642" s="643">
        <v>0</v>
      </c>
    </row>
    <row r="643" spans="1:36" x14ac:dyDescent="0.2">
      <c r="A643" s="440" t="s">
        <v>130</v>
      </c>
      <c r="B643" s="642">
        <v>0</v>
      </c>
      <c r="C643" s="184">
        <v>0</v>
      </c>
      <c r="D643" s="184">
        <v>0</v>
      </c>
      <c r="E643" s="184">
        <v>0</v>
      </c>
      <c r="F643" s="184">
        <v>0</v>
      </c>
      <c r="G643" s="184">
        <v>0</v>
      </c>
      <c r="H643" s="184">
        <v>0</v>
      </c>
      <c r="I643" s="184">
        <v>0</v>
      </c>
      <c r="J643" s="184">
        <v>0</v>
      </c>
      <c r="K643" s="184">
        <v>0</v>
      </c>
      <c r="L643" s="184">
        <v>0</v>
      </c>
      <c r="M643" s="654" t="s">
        <v>24</v>
      </c>
      <c r="N643" s="670" t="s">
        <v>130</v>
      </c>
      <c r="O643" s="642">
        <v>0</v>
      </c>
      <c r="P643" s="184">
        <v>0</v>
      </c>
      <c r="Q643" s="184">
        <v>0</v>
      </c>
      <c r="R643" s="184">
        <v>0</v>
      </c>
      <c r="S643" s="184">
        <v>0</v>
      </c>
      <c r="T643" s="184">
        <v>0</v>
      </c>
      <c r="U643" s="184">
        <v>0</v>
      </c>
      <c r="V643" s="184">
        <v>0</v>
      </c>
      <c r="W643" s="184">
        <v>0</v>
      </c>
      <c r="X643" s="184">
        <v>0</v>
      </c>
      <c r="Y643" s="184">
        <v>0</v>
      </c>
      <c r="Z643" s="184">
        <v>0</v>
      </c>
      <c r="AA643" s="184">
        <v>0</v>
      </c>
      <c r="AB643" s="184">
        <v>0</v>
      </c>
      <c r="AC643" s="185" t="s">
        <v>24</v>
      </c>
      <c r="AD643" s="185" t="s">
        <v>24</v>
      </c>
      <c r="AE643" s="184">
        <v>0</v>
      </c>
      <c r="AF643" s="185">
        <v>0</v>
      </c>
      <c r="AG643" s="184">
        <v>0</v>
      </c>
      <c r="AH643" s="185">
        <v>0</v>
      </c>
      <c r="AI643" s="184">
        <v>0</v>
      </c>
      <c r="AJ643" s="643">
        <v>0</v>
      </c>
    </row>
    <row r="644" spans="1:36" x14ac:dyDescent="0.2">
      <c r="A644" s="440" t="s">
        <v>131</v>
      </c>
      <c r="B644" s="642">
        <v>0</v>
      </c>
      <c r="C644" s="184">
        <v>0</v>
      </c>
      <c r="D644" s="184">
        <v>0</v>
      </c>
      <c r="E644" s="184">
        <v>0</v>
      </c>
      <c r="F644" s="184">
        <v>0</v>
      </c>
      <c r="G644" s="184">
        <v>0</v>
      </c>
      <c r="H644" s="184">
        <v>0</v>
      </c>
      <c r="I644" s="184">
        <v>0</v>
      </c>
      <c r="J644" s="184">
        <v>0</v>
      </c>
      <c r="K644" s="184">
        <v>0</v>
      </c>
      <c r="L644" s="184">
        <v>0</v>
      </c>
      <c r="M644" s="654" t="s">
        <v>24</v>
      </c>
      <c r="N644" s="670" t="s">
        <v>131</v>
      </c>
      <c r="O644" s="642">
        <v>0</v>
      </c>
      <c r="P644" s="184">
        <v>0</v>
      </c>
      <c r="Q644" s="184">
        <v>0</v>
      </c>
      <c r="R644" s="184">
        <v>0</v>
      </c>
      <c r="S644" s="184">
        <v>0</v>
      </c>
      <c r="T644" s="184">
        <v>0</v>
      </c>
      <c r="U644" s="184">
        <v>0</v>
      </c>
      <c r="V644" s="184">
        <v>0</v>
      </c>
      <c r="W644" s="184">
        <v>0</v>
      </c>
      <c r="X644" s="184">
        <v>0</v>
      </c>
      <c r="Y644" s="184">
        <v>0</v>
      </c>
      <c r="Z644" s="184">
        <v>0</v>
      </c>
      <c r="AA644" s="184">
        <v>0</v>
      </c>
      <c r="AB644" s="184">
        <v>0</v>
      </c>
      <c r="AC644" s="185" t="s">
        <v>24</v>
      </c>
      <c r="AD644" s="185" t="s">
        <v>24</v>
      </c>
      <c r="AE644" s="184">
        <v>0</v>
      </c>
      <c r="AF644" s="185">
        <v>0</v>
      </c>
      <c r="AG644" s="184">
        <v>0</v>
      </c>
      <c r="AH644" s="185">
        <v>0</v>
      </c>
      <c r="AI644" s="184">
        <v>0</v>
      </c>
      <c r="AJ644" s="643">
        <v>0</v>
      </c>
    </row>
    <row r="645" spans="1:36" x14ac:dyDescent="0.2">
      <c r="A645" s="440" t="s">
        <v>132</v>
      </c>
      <c r="B645" s="648">
        <v>0</v>
      </c>
      <c r="C645" s="649">
        <v>0</v>
      </c>
      <c r="D645" s="649">
        <v>0</v>
      </c>
      <c r="E645" s="649">
        <v>0</v>
      </c>
      <c r="F645" s="649">
        <v>0</v>
      </c>
      <c r="G645" s="649">
        <v>0</v>
      </c>
      <c r="H645" s="649">
        <v>0</v>
      </c>
      <c r="I645" s="649">
        <v>0</v>
      </c>
      <c r="J645" s="649">
        <v>0</v>
      </c>
      <c r="K645" s="649">
        <v>0</v>
      </c>
      <c r="L645" s="649">
        <v>0</v>
      </c>
      <c r="M645" s="657" t="s">
        <v>24</v>
      </c>
      <c r="N645" s="670" t="s">
        <v>132</v>
      </c>
      <c r="O645" s="648">
        <v>0</v>
      </c>
      <c r="P645" s="649">
        <v>0</v>
      </c>
      <c r="Q645" s="649">
        <v>0</v>
      </c>
      <c r="R645" s="649">
        <v>0</v>
      </c>
      <c r="S645" s="649">
        <v>0</v>
      </c>
      <c r="T645" s="649">
        <v>0</v>
      </c>
      <c r="U645" s="649">
        <v>0</v>
      </c>
      <c r="V645" s="649">
        <v>0</v>
      </c>
      <c r="W645" s="649">
        <v>0</v>
      </c>
      <c r="X645" s="649">
        <v>0</v>
      </c>
      <c r="Y645" s="649">
        <v>0</v>
      </c>
      <c r="Z645" s="649">
        <v>0</v>
      </c>
      <c r="AA645" s="649">
        <v>0</v>
      </c>
      <c r="AB645" s="649">
        <v>0</v>
      </c>
      <c r="AC645" s="650" t="s">
        <v>24</v>
      </c>
      <c r="AD645" s="650" t="s">
        <v>24</v>
      </c>
      <c r="AE645" s="649">
        <v>0</v>
      </c>
      <c r="AF645" s="650">
        <v>0</v>
      </c>
      <c r="AG645" s="649">
        <v>0</v>
      </c>
      <c r="AH645" s="650">
        <v>0</v>
      </c>
      <c r="AI645" s="649">
        <v>0</v>
      </c>
      <c r="AJ645" s="651">
        <v>0</v>
      </c>
    </row>
    <row r="646" spans="1:36" x14ac:dyDescent="0.2">
      <c r="A646" s="440" t="s">
        <v>133</v>
      </c>
      <c r="B646" s="598">
        <v>439</v>
      </c>
      <c r="C646" s="599">
        <v>12</v>
      </c>
      <c r="D646" s="599">
        <v>403</v>
      </c>
      <c r="E646" s="599">
        <v>4</v>
      </c>
      <c r="F646" s="599">
        <v>19</v>
      </c>
      <c r="G646" s="599">
        <v>1</v>
      </c>
      <c r="H646" s="599">
        <v>0</v>
      </c>
      <c r="I646" s="599">
        <v>0</v>
      </c>
      <c r="J646" s="599">
        <v>0</v>
      </c>
      <c r="K646" s="599">
        <v>0</v>
      </c>
      <c r="L646" s="599">
        <v>0</v>
      </c>
      <c r="M646" s="600" t="s">
        <v>24</v>
      </c>
      <c r="N646" s="587" t="s">
        <v>133</v>
      </c>
      <c r="O646" s="598">
        <v>1</v>
      </c>
      <c r="P646" s="599">
        <v>8</v>
      </c>
      <c r="Q646" s="599">
        <v>7</v>
      </c>
      <c r="R646" s="599">
        <v>2</v>
      </c>
      <c r="S646" s="599">
        <v>22</v>
      </c>
      <c r="T646" s="599">
        <v>67</v>
      </c>
      <c r="U646" s="599">
        <v>141</v>
      </c>
      <c r="V646" s="599">
        <v>104</v>
      </c>
      <c r="W646" s="599">
        <v>49</v>
      </c>
      <c r="X646" s="599">
        <v>36</v>
      </c>
      <c r="Y646" s="599">
        <v>2</v>
      </c>
      <c r="Z646" s="599">
        <v>0</v>
      </c>
      <c r="AA646" s="599">
        <v>0</v>
      </c>
      <c r="AB646" s="599">
        <v>0</v>
      </c>
      <c r="AC646" s="611">
        <v>39.104166666666664</v>
      </c>
      <c r="AD646" s="611">
        <v>46.614285714285707</v>
      </c>
      <c r="AE646" s="599">
        <v>2</v>
      </c>
      <c r="AF646" s="611">
        <v>0.36858974358974361</v>
      </c>
      <c r="AG646" s="599">
        <v>0</v>
      </c>
      <c r="AH646" s="611">
        <v>0</v>
      </c>
      <c r="AI646" s="599">
        <v>0</v>
      </c>
      <c r="AJ646" s="612">
        <v>0</v>
      </c>
    </row>
    <row r="647" spans="1:36" x14ac:dyDescent="0.2">
      <c r="A647" s="440" t="s">
        <v>134</v>
      </c>
      <c r="B647" s="601">
        <v>490</v>
      </c>
      <c r="C647" s="441">
        <v>12</v>
      </c>
      <c r="D647" s="441">
        <v>454</v>
      </c>
      <c r="E647" s="441">
        <v>4</v>
      </c>
      <c r="F647" s="441">
        <v>19</v>
      </c>
      <c r="G647" s="441">
        <v>1</v>
      </c>
      <c r="H647" s="441">
        <v>0</v>
      </c>
      <c r="I647" s="441">
        <v>0</v>
      </c>
      <c r="J647" s="441">
        <v>0</v>
      </c>
      <c r="K647" s="441">
        <v>0</v>
      </c>
      <c r="L647" s="441">
        <v>0</v>
      </c>
      <c r="M647" s="602" t="s">
        <v>24</v>
      </c>
      <c r="N647" s="588" t="s">
        <v>134</v>
      </c>
      <c r="O647" s="601">
        <v>1</v>
      </c>
      <c r="P647" s="441">
        <v>8</v>
      </c>
      <c r="Q647" s="441">
        <v>7</v>
      </c>
      <c r="R647" s="441">
        <v>2</v>
      </c>
      <c r="S647" s="441">
        <v>25</v>
      </c>
      <c r="T647" s="441">
        <v>74</v>
      </c>
      <c r="U647" s="441">
        <v>159</v>
      </c>
      <c r="V647" s="441">
        <v>122</v>
      </c>
      <c r="W647" s="441">
        <v>51</v>
      </c>
      <c r="X647" s="441">
        <v>38</v>
      </c>
      <c r="Y647" s="441">
        <v>3</v>
      </c>
      <c r="Z647" s="441">
        <v>0</v>
      </c>
      <c r="AA647" s="441">
        <v>0</v>
      </c>
      <c r="AB647" s="441">
        <v>0</v>
      </c>
      <c r="AC647" s="442">
        <v>39.634920634920633</v>
      </c>
      <c r="AD647" s="442">
        <v>46.614285714285707</v>
      </c>
      <c r="AE647" s="441">
        <v>3</v>
      </c>
      <c r="AF647" s="442">
        <v>1.8389423076923077</v>
      </c>
      <c r="AG647" s="441">
        <v>0</v>
      </c>
      <c r="AH647" s="442">
        <v>0</v>
      </c>
      <c r="AI647" s="441">
        <v>0</v>
      </c>
      <c r="AJ647" s="613">
        <v>0</v>
      </c>
    </row>
    <row r="648" spans="1:36" x14ac:dyDescent="0.2">
      <c r="A648" s="440" t="s">
        <v>135</v>
      </c>
      <c r="B648" s="601">
        <v>498</v>
      </c>
      <c r="C648" s="441">
        <v>12</v>
      </c>
      <c r="D648" s="441">
        <v>462</v>
      </c>
      <c r="E648" s="441">
        <v>4</v>
      </c>
      <c r="F648" s="441">
        <v>19</v>
      </c>
      <c r="G648" s="441">
        <v>1</v>
      </c>
      <c r="H648" s="441">
        <v>0</v>
      </c>
      <c r="I648" s="441">
        <v>0</v>
      </c>
      <c r="J648" s="441">
        <v>0</v>
      </c>
      <c r="K648" s="441">
        <v>0</v>
      </c>
      <c r="L648" s="441">
        <v>0</v>
      </c>
      <c r="M648" s="602" t="s">
        <v>24</v>
      </c>
      <c r="N648" s="588" t="s">
        <v>135</v>
      </c>
      <c r="O648" s="601">
        <v>1</v>
      </c>
      <c r="P648" s="441">
        <v>8</v>
      </c>
      <c r="Q648" s="441">
        <v>7</v>
      </c>
      <c r="R648" s="441">
        <v>2</v>
      </c>
      <c r="S648" s="441">
        <v>25</v>
      </c>
      <c r="T648" s="441">
        <v>74</v>
      </c>
      <c r="U648" s="441">
        <v>161</v>
      </c>
      <c r="V648" s="441">
        <v>124</v>
      </c>
      <c r="W648" s="441">
        <v>55</v>
      </c>
      <c r="X648" s="441">
        <v>38</v>
      </c>
      <c r="Y648" s="441">
        <v>3</v>
      </c>
      <c r="Z648" s="441">
        <v>0</v>
      </c>
      <c r="AA648" s="441">
        <v>0</v>
      </c>
      <c r="AB648" s="441">
        <v>0</v>
      </c>
      <c r="AC648" s="442">
        <v>40</v>
      </c>
      <c r="AD648" s="442">
        <v>46.614285714285707</v>
      </c>
      <c r="AE648" s="441">
        <v>3</v>
      </c>
      <c r="AF648" s="442">
        <v>1.6346153846153846</v>
      </c>
      <c r="AG648" s="441">
        <v>0</v>
      </c>
      <c r="AH648" s="442">
        <v>0</v>
      </c>
      <c r="AI648" s="441">
        <v>0</v>
      </c>
      <c r="AJ648" s="613">
        <v>0</v>
      </c>
    </row>
    <row r="649" spans="1:36" x14ac:dyDescent="0.2">
      <c r="A649" s="440" t="s">
        <v>136</v>
      </c>
      <c r="B649" s="603">
        <v>514</v>
      </c>
      <c r="C649" s="604">
        <v>12</v>
      </c>
      <c r="D649" s="604">
        <v>478</v>
      </c>
      <c r="E649" s="604">
        <v>4</v>
      </c>
      <c r="F649" s="604">
        <v>19</v>
      </c>
      <c r="G649" s="604">
        <v>1</v>
      </c>
      <c r="H649" s="604">
        <v>0</v>
      </c>
      <c r="I649" s="604">
        <v>0</v>
      </c>
      <c r="J649" s="604">
        <v>0</v>
      </c>
      <c r="K649" s="604">
        <v>0</v>
      </c>
      <c r="L649" s="604">
        <v>0</v>
      </c>
      <c r="M649" s="605" t="s">
        <v>24</v>
      </c>
      <c r="N649" s="589" t="s">
        <v>136</v>
      </c>
      <c r="O649" s="603">
        <v>2</v>
      </c>
      <c r="P649" s="604">
        <v>8</v>
      </c>
      <c r="Q649" s="604">
        <v>7</v>
      </c>
      <c r="R649" s="604">
        <v>2</v>
      </c>
      <c r="S649" s="604">
        <v>26</v>
      </c>
      <c r="T649" s="604">
        <v>76</v>
      </c>
      <c r="U649" s="604">
        <v>164</v>
      </c>
      <c r="V649" s="604">
        <v>127</v>
      </c>
      <c r="W649" s="604">
        <v>58</v>
      </c>
      <c r="X649" s="604">
        <v>41</v>
      </c>
      <c r="Y649" s="604">
        <v>3</v>
      </c>
      <c r="Z649" s="604">
        <v>0</v>
      </c>
      <c r="AA649" s="604">
        <v>0</v>
      </c>
      <c r="AB649" s="604">
        <v>0</v>
      </c>
      <c r="AC649" s="614">
        <v>40.09746835443039</v>
      </c>
      <c r="AD649" s="614">
        <v>46.614285714285707</v>
      </c>
      <c r="AE649" s="604">
        <v>3</v>
      </c>
      <c r="AF649" s="614">
        <v>1.2259615384615385</v>
      </c>
      <c r="AG649" s="604">
        <v>0</v>
      </c>
      <c r="AH649" s="614">
        <v>0</v>
      </c>
      <c r="AI649" s="604">
        <v>0</v>
      </c>
      <c r="AJ649" s="615">
        <v>0</v>
      </c>
    </row>
    <row r="650" spans="1:36" x14ac:dyDescent="0.2">
      <c r="A650" s="440"/>
      <c r="B650" s="660"/>
      <c r="C650" s="661"/>
      <c r="D650" s="661"/>
      <c r="E650" s="661"/>
      <c r="F650" s="661"/>
      <c r="G650" s="661"/>
      <c r="H650" s="661"/>
      <c r="I650" s="661"/>
      <c r="J650" s="661"/>
      <c r="K650" s="661"/>
      <c r="L650" s="661"/>
      <c r="M650" s="661"/>
      <c r="N650" s="662"/>
      <c r="O650" s="661"/>
      <c r="P650" s="661"/>
      <c r="Q650" s="661"/>
      <c r="R650" s="661"/>
      <c r="S650" s="661"/>
      <c r="T650" s="661"/>
      <c r="U650" s="661"/>
      <c r="V650" s="661"/>
      <c r="W650" s="661"/>
      <c r="X650" s="661"/>
      <c r="Y650" s="661"/>
      <c r="Z650" s="661"/>
      <c r="AA650" s="661"/>
      <c r="AB650" s="661"/>
      <c r="AC650" s="663"/>
      <c r="AD650" s="663"/>
      <c r="AE650" s="661"/>
      <c r="AF650" s="663"/>
      <c r="AG650" s="661"/>
      <c r="AH650" s="663"/>
      <c r="AI650" s="661"/>
      <c r="AJ650" s="663"/>
    </row>
    <row r="651" spans="1:36" x14ac:dyDescent="0.2">
      <c r="A651" s="440"/>
      <c r="B651" s="664"/>
      <c r="C651" s="169"/>
      <c r="D651" s="169"/>
      <c r="E651" s="169"/>
      <c r="F651" s="169"/>
      <c r="G651" s="169"/>
      <c r="H651" s="169"/>
      <c r="I651" s="169"/>
      <c r="J651" s="169"/>
      <c r="K651" s="169"/>
      <c r="L651" s="169"/>
      <c r="M651" s="169"/>
      <c r="N651" s="178"/>
      <c r="O651" s="169"/>
      <c r="P651" s="169"/>
      <c r="Q651" s="169"/>
      <c r="R651" s="169"/>
      <c r="S651" s="169"/>
      <c r="T651" s="169"/>
      <c r="U651" s="169"/>
      <c r="V651" s="169"/>
      <c r="W651" s="169"/>
      <c r="X651" s="169"/>
      <c r="Y651" s="169"/>
      <c r="Z651" s="169"/>
      <c r="AA651" s="169"/>
      <c r="AB651" s="169"/>
      <c r="AC651" s="177"/>
      <c r="AD651" s="177"/>
      <c r="AE651" s="169"/>
      <c r="AF651" s="177"/>
      <c r="AG651" s="169"/>
      <c r="AH651" s="177"/>
      <c r="AI651" s="169"/>
      <c r="AJ651" s="177"/>
    </row>
    <row r="652" spans="1:36" x14ac:dyDescent="0.2">
      <c r="A652" s="659">
        <f>A545+1</f>
        <v>43269</v>
      </c>
      <c r="B652" s="664"/>
      <c r="C652" s="169"/>
      <c r="D652" s="169"/>
      <c r="E652" s="169"/>
      <c r="F652" s="169"/>
      <c r="G652" s="169"/>
      <c r="H652" s="169"/>
      <c r="I652" s="169"/>
      <c r="J652" s="169"/>
      <c r="K652" s="169"/>
      <c r="L652" s="169"/>
      <c r="M652" s="169"/>
      <c r="N652" s="178"/>
      <c r="O652" s="169"/>
      <c r="P652" s="169"/>
      <c r="Q652" s="169"/>
      <c r="R652" s="169"/>
      <c r="S652" s="169"/>
      <c r="T652" s="169"/>
      <c r="U652" s="169"/>
      <c r="V652" s="169"/>
      <c r="W652" s="169"/>
      <c r="X652" s="169"/>
      <c r="Y652" s="169"/>
      <c r="Z652" s="169"/>
      <c r="AA652" s="169"/>
      <c r="AB652" s="169"/>
      <c r="AC652" s="177"/>
      <c r="AD652" s="177"/>
      <c r="AE652" s="169"/>
      <c r="AF652" s="177"/>
      <c r="AG652" s="169"/>
      <c r="AH652" s="177"/>
      <c r="AI652" s="169"/>
      <c r="AJ652" s="177"/>
    </row>
    <row r="653" spans="1:36" x14ac:dyDescent="0.2">
      <c r="A653" s="440"/>
      <c r="B653" s="665"/>
      <c r="C653" s="666"/>
      <c r="D653" s="666"/>
      <c r="E653" s="666"/>
      <c r="F653" s="666"/>
      <c r="G653" s="666"/>
      <c r="H653" s="666"/>
      <c r="I653" s="666"/>
      <c r="J653" s="666"/>
      <c r="K653" s="666"/>
      <c r="L653" s="666"/>
      <c r="M653" s="666"/>
      <c r="N653" s="667"/>
      <c r="O653" s="666"/>
      <c r="P653" s="666"/>
      <c r="Q653" s="666"/>
      <c r="R653" s="666"/>
      <c r="S653" s="666"/>
      <c r="T653" s="666"/>
      <c r="U653" s="666"/>
      <c r="V653" s="666"/>
      <c r="W653" s="666"/>
      <c r="X653" s="666"/>
      <c r="Y653" s="666"/>
      <c r="Z653" s="666"/>
      <c r="AA653" s="666"/>
      <c r="AB653" s="666"/>
      <c r="AC653" s="668"/>
      <c r="AD653" s="668"/>
      <c r="AE653" s="666"/>
      <c r="AF653" s="668"/>
      <c r="AG653" s="666"/>
      <c r="AH653" s="668"/>
      <c r="AI653" s="666"/>
      <c r="AJ653" s="668"/>
    </row>
    <row r="654" spans="1:36" x14ac:dyDescent="0.2">
      <c r="A654" s="566" t="s">
        <v>256</v>
      </c>
      <c r="B654" s="576" t="s">
        <v>0</v>
      </c>
      <c r="C654" s="577" t="s">
        <v>442</v>
      </c>
      <c r="D654" s="577" t="s">
        <v>215</v>
      </c>
      <c r="E654" s="577" t="s">
        <v>443</v>
      </c>
      <c r="F654" s="577" t="s">
        <v>444</v>
      </c>
      <c r="G654" s="577" t="s">
        <v>445</v>
      </c>
      <c r="H654" s="577" t="s">
        <v>446</v>
      </c>
      <c r="I654" s="577" t="s">
        <v>447</v>
      </c>
      <c r="J654" s="577" t="s">
        <v>448</v>
      </c>
      <c r="K654" s="577" t="s">
        <v>449</v>
      </c>
      <c r="L654" s="577" t="s">
        <v>450</v>
      </c>
      <c r="M654" s="578"/>
      <c r="N654" s="587" t="s">
        <v>11</v>
      </c>
      <c r="O654" s="576" t="s">
        <v>268</v>
      </c>
      <c r="P654" s="577" t="s">
        <v>269</v>
      </c>
      <c r="Q654" s="577" t="s">
        <v>270</v>
      </c>
      <c r="R654" s="577" t="s">
        <v>271</v>
      </c>
      <c r="S654" s="577" t="s">
        <v>272</v>
      </c>
      <c r="T654" s="577" t="s">
        <v>273</v>
      </c>
      <c r="U654" s="577" t="s">
        <v>274</v>
      </c>
      <c r="V654" s="577" t="s">
        <v>275</v>
      </c>
      <c r="W654" s="577" t="s">
        <v>276</v>
      </c>
      <c r="X654" s="577" t="s">
        <v>277</v>
      </c>
      <c r="Y654" s="577" t="s">
        <v>278</v>
      </c>
      <c r="Z654" s="577" t="s">
        <v>279</v>
      </c>
      <c r="AA654" s="577" t="s">
        <v>280</v>
      </c>
      <c r="AB654" s="577" t="s">
        <v>281</v>
      </c>
      <c r="AC654" s="629" t="s">
        <v>258</v>
      </c>
      <c r="AD654" s="629" t="s">
        <v>13</v>
      </c>
      <c r="AE654" s="577" t="s">
        <v>166</v>
      </c>
      <c r="AF654" s="629" t="s">
        <v>259</v>
      </c>
      <c r="AG654" s="630" t="s">
        <v>260</v>
      </c>
      <c r="AH654" s="631" t="s">
        <v>261</v>
      </c>
      <c r="AI654" s="630" t="s">
        <v>262</v>
      </c>
      <c r="AJ654" s="632" t="s">
        <v>263</v>
      </c>
    </row>
    <row r="655" spans="1:36" x14ac:dyDescent="0.2">
      <c r="A655" s="440" t="s">
        <v>24</v>
      </c>
      <c r="B655" s="579" t="s">
        <v>24</v>
      </c>
      <c r="C655" s="443" t="s">
        <v>25</v>
      </c>
      <c r="D655" s="443" t="s">
        <v>26</v>
      </c>
      <c r="E655" s="443" t="s">
        <v>27</v>
      </c>
      <c r="F655" s="443" t="s">
        <v>28</v>
      </c>
      <c r="G655" s="443" t="s">
        <v>29</v>
      </c>
      <c r="H655" s="443" t="s">
        <v>30</v>
      </c>
      <c r="I655" s="443" t="s">
        <v>31</v>
      </c>
      <c r="J655" s="443" t="s">
        <v>32</v>
      </c>
      <c r="K655" s="443" t="s">
        <v>33</v>
      </c>
      <c r="L655" s="443" t="s">
        <v>34</v>
      </c>
      <c r="M655" s="580" t="s">
        <v>24</v>
      </c>
      <c r="N655" s="588" t="s">
        <v>24</v>
      </c>
      <c r="O655" s="579" t="s">
        <v>451</v>
      </c>
      <c r="P655" s="443" t="s">
        <v>34</v>
      </c>
      <c r="Q655" s="443" t="s">
        <v>452</v>
      </c>
      <c r="R655" s="443" t="s">
        <v>453</v>
      </c>
      <c r="S655" s="443" t="s">
        <v>454</v>
      </c>
      <c r="T655" s="443" t="s">
        <v>455</v>
      </c>
      <c r="U655" s="443" t="s">
        <v>456</v>
      </c>
      <c r="V655" s="443" t="s">
        <v>457</v>
      </c>
      <c r="W655" s="443" t="s">
        <v>458</v>
      </c>
      <c r="X655" s="443" t="s">
        <v>459</v>
      </c>
      <c r="Y655" s="443" t="s">
        <v>460</v>
      </c>
      <c r="Z655" s="443" t="s">
        <v>461</v>
      </c>
      <c r="AA655" s="443" t="s">
        <v>462</v>
      </c>
      <c r="AB655" s="443" t="s">
        <v>463</v>
      </c>
      <c r="AC655" s="444"/>
      <c r="AD655" s="444">
        <v>0</v>
      </c>
      <c r="AE655" s="443">
        <v>60</v>
      </c>
      <c r="AF655" s="443">
        <v>60</v>
      </c>
      <c r="AG655" s="445">
        <v>65</v>
      </c>
      <c r="AH655" s="445">
        <v>65</v>
      </c>
      <c r="AI655" s="445">
        <v>75</v>
      </c>
      <c r="AJ655" s="633">
        <v>75</v>
      </c>
    </row>
    <row r="656" spans="1:36" ht="13.5" thickBot="1" x14ac:dyDescent="0.25">
      <c r="A656" s="440" t="s">
        <v>24</v>
      </c>
      <c r="B656" s="579" t="s">
        <v>24</v>
      </c>
      <c r="C656" s="582" t="s">
        <v>24</v>
      </c>
      <c r="D656" s="582" t="s">
        <v>24</v>
      </c>
      <c r="E656" s="582" t="s">
        <v>24</v>
      </c>
      <c r="F656" s="582" t="s">
        <v>24</v>
      </c>
      <c r="G656" s="582" t="s">
        <v>24</v>
      </c>
      <c r="H656" s="582" t="s">
        <v>24</v>
      </c>
      <c r="I656" s="582" t="s">
        <v>24</v>
      </c>
      <c r="J656" s="582" t="s">
        <v>24</v>
      </c>
      <c r="K656" s="582" t="s">
        <v>24</v>
      </c>
      <c r="L656" s="582" t="s">
        <v>24</v>
      </c>
      <c r="M656" s="583" t="s">
        <v>24</v>
      </c>
      <c r="N656" s="589" t="s">
        <v>24</v>
      </c>
      <c r="O656" s="581" t="s">
        <v>34</v>
      </c>
      <c r="P656" s="582" t="s">
        <v>452</v>
      </c>
      <c r="Q656" s="582" t="s">
        <v>453</v>
      </c>
      <c r="R656" s="582" t="s">
        <v>454</v>
      </c>
      <c r="S656" s="582" t="s">
        <v>455</v>
      </c>
      <c r="T656" s="582" t="s">
        <v>456</v>
      </c>
      <c r="U656" s="582" t="s">
        <v>457</v>
      </c>
      <c r="V656" s="582" t="s">
        <v>458</v>
      </c>
      <c r="W656" s="582" t="s">
        <v>459</v>
      </c>
      <c r="X656" s="582" t="s">
        <v>460</v>
      </c>
      <c r="Y656" s="582" t="s">
        <v>461</v>
      </c>
      <c r="Z656" s="582" t="s">
        <v>462</v>
      </c>
      <c r="AA656" s="582" t="s">
        <v>463</v>
      </c>
      <c r="AB656" s="582" t="s">
        <v>464</v>
      </c>
      <c r="AC656" s="634"/>
      <c r="AD656" s="634"/>
      <c r="AE656" s="582"/>
      <c r="AF656" s="634"/>
      <c r="AG656" s="635" t="s">
        <v>35</v>
      </c>
      <c r="AH656" s="636" t="s">
        <v>35</v>
      </c>
      <c r="AI656" s="635" t="s">
        <v>36</v>
      </c>
      <c r="AJ656" s="637" t="s">
        <v>36</v>
      </c>
    </row>
    <row r="657" spans="1:36" ht="13.5" thickBot="1" x14ac:dyDescent="0.25">
      <c r="A657" s="440" t="s">
        <v>37</v>
      </c>
      <c r="B657" s="691">
        <v>0</v>
      </c>
      <c r="C657" s="652">
        <v>0</v>
      </c>
      <c r="D657" s="639">
        <v>0</v>
      </c>
      <c r="E657" s="639">
        <v>0</v>
      </c>
      <c r="F657" s="639">
        <v>0</v>
      </c>
      <c r="G657" s="639">
        <v>0</v>
      </c>
      <c r="H657" s="639">
        <v>0</v>
      </c>
      <c r="I657" s="639">
        <v>0</v>
      </c>
      <c r="J657" s="639">
        <v>0</v>
      </c>
      <c r="K657" s="639">
        <v>0</v>
      </c>
      <c r="L657" s="639">
        <v>0</v>
      </c>
      <c r="M657" s="653" t="s">
        <v>24</v>
      </c>
      <c r="N657" s="587" t="s">
        <v>37</v>
      </c>
      <c r="O657" s="638">
        <v>0</v>
      </c>
      <c r="P657" s="639">
        <v>0</v>
      </c>
      <c r="Q657" s="639">
        <v>0</v>
      </c>
      <c r="R657" s="639">
        <v>0</v>
      </c>
      <c r="S657" s="639">
        <v>0</v>
      </c>
      <c r="T657" s="639">
        <v>0</v>
      </c>
      <c r="U657" s="639">
        <v>0</v>
      </c>
      <c r="V657" s="639">
        <v>0</v>
      </c>
      <c r="W657" s="639">
        <v>0</v>
      </c>
      <c r="X657" s="639">
        <v>0</v>
      </c>
      <c r="Y657" s="639">
        <v>0</v>
      </c>
      <c r="Z657" s="639">
        <v>0</v>
      </c>
      <c r="AA657" s="639">
        <v>0</v>
      </c>
      <c r="AB657" s="639">
        <v>0</v>
      </c>
      <c r="AC657" s="640" t="s">
        <v>24</v>
      </c>
      <c r="AD657" s="640" t="s">
        <v>24</v>
      </c>
      <c r="AE657" s="639">
        <v>0</v>
      </c>
      <c r="AF657" s="640">
        <v>0</v>
      </c>
      <c r="AG657" s="639">
        <v>0</v>
      </c>
      <c r="AH657" s="640">
        <v>0</v>
      </c>
      <c r="AI657" s="639">
        <v>0</v>
      </c>
      <c r="AJ657" s="641">
        <v>0</v>
      </c>
    </row>
    <row r="658" spans="1:36" x14ac:dyDescent="0.2">
      <c r="A658" s="440" t="s">
        <v>38</v>
      </c>
      <c r="B658" s="646">
        <v>0</v>
      </c>
      <c r="C658" s="184">
        <v>0</v>
      </c>
      <c r="D658" s="184">
        <v>0</v>
      </c>
      <c r="E658" s="184">
        <v>0</v>
      </c>
      <c r="F658" s="184">
        <v>0</v>
      </c>
      <c r="G658" s="184">
        <v>0</v>
      </c>
      <c r="H658" s="184">
        <v>0</v>
      </c>
      <c r="I658" s="184">
        <v>0</v>
      </c>
      <c r="J658" s="184">
        <v>0</v>
      </c>
      <c r="K658" s="184">
        <v>0</v>
      </c>
      <c r="L658" s="184">
        <v>0</v>
      </c>
      <c r="M658" s="654" t="s">
        <v>24</v>
      </c>
      <c r="N658" s="588" t="s">
        <v>38</v>
      </c>
      <c r="O658" s="642">
        <v>0</v>
      </c>
      <c r="P658" s="184">
        <v>0</v>
      </c>
      <c r="Q658" s="184">
        <v>0</v>
      </c>
      <c r="R658" s="184">
        <v>0</v>
      </c>
      <c r="S658" s="184">
        <v>0</v>
      </c>
      <c r="T658" s="184">
        <v>0</v>
      </c>
      <c r="U658" s="184">
        <v>0</v>
      </c>
      <c r="V658" s="184">
        <v>0</v>
      </c>
      <c r="W658" s="184">
        <v>0</v>
      </c>
      <c r="X658" s="184">
        <v>0</v>
      </c>
      <c r="Y658" s="184">
        <v>0</v>
      </c>
      <c r="Z658" s="184">
        <v>0</v>
      </c>
      <c r="AA658" s="184">
        <v>0</v>
      </c>
      <c r="AB658" s="184">
        <v>0</v>
      </c>
      <c r="AC658" s="185" t="s">
        <v>24</v>
      </c>
      <c r="AD658" s="185" t="s">
        <v>24</v>
      </c>
      <c r="AE658" s="184">
        <v>0</v>
      </c>
      <c r="AF658" s="185">
        <v>0</v>
      </c>
      <c r="AG658" s="184">
        <v>0</v>
      </c>
      <c r="AH658" s="185">
        <v>0</v>
      </c>
      <c r="AI658" s="184">
        <v>0</v>
      </c>
      <c r="AJ658" s="643">
        <v>0</v>
      </c>
    </row>
    <row r="659" spans="1:36" x14ac:dyDescent="0.2">
      <c r="A659" s="440" t="s">
        <v>40</v>
      </c>
      <c r="B659" s="642">
        <v>0</v>
      </c>
      <c r="C659" s="184">
        <v>0</v>
      </c>
      <c r="D659" s="184">
        <v>0</v>
      </c>
      <c r="E659" s="184">
        <v>0</v>
      </c>
      <c r="F659" s="184">
        <v>0</v>
      </c>
      <c r="G659" s="184">
        <v>0</v>
      </c>
      <c r="H659" s="184">
        <v>0</v>
      </c>
      <c r="I659" s="184">
        <v>0</v>
      </c>
      <c r="J659" s="184">
        <v>0</v>
      </c>
      <c r="K659" s="184">
        <v>0</v>
      </c>
      <c r="L659" s="184">
        <v>0</v>
      </c>
      <c r="M659" s="654" t="s">
        <v>24</v>
      </c>
      <c r="N659" s="588" t="s">
        <v>40</v>
      </c>
      <c r="O659" s="642">
        <v>0</v>
      </c>
      <c r="P659" s="184">
        <v>0</v>
      </c>
      <c r="Q659" s="184">
        <v>0</v>
      </c>
      <c r="R659" s="184">
        <v>0</v>
      </c>
      <c r="S659" s="184">
        <v>0</v>
      </c>
      <c r="T659" s="184">
        <v>0</v>
      </c>
      <c r="U659" s="184">
        <v>0</v>
      </c>
      <c r="V659" s="184">
        <v>0</v>
      </c>
      <c r="W659" s="184">
        <v>0</v>
      </c>
      <c r="X659" s="184">
        <v>0</v>
      </c>
      <c r="Y659" s="184">
        <v>0</v>
      </c>
      <c r="Z659" s="184">
        <v>0</v>
      </c>
      <c r="AA659" s="184">
        <v>0</v>
      </c>
      <c r="AB659" s="184">
        <v>0</v>
      </c>
      <c r="AC659" s="185" t="s">
        <v>24</v>
      </c>
      <c r="AD659" s="185" t="s">
        <v>24</v>
      </c>
      <c r="AE659" s="184">
        <v>0</v>
      </c>
      <c r="AF659" s="185">
        <v>0</v>
      </c>
      <c r="AG659" s="184">
        <v>0</v>
      </c>
      <c r="AH659" s="185">
        <v>0</v>
      </c>
      <c r="AI659" s="184">
        <v>0</v>
      </c>
      <c r="AJ659" s="643">
        <v>0</v>
      </c>
    </row>
    <row r="660" spans="1:36" x14ac:dyDescent="0.2">
      <c r="A660" s="440" t="s">
        <v>42</v>
      </c>
      <c r="B660" s="642">
        <v>0</v>
      </c>
      <c r="C660" s="184">
        <v>0</v>
      </c>
      <c r="D660" s="184">
        <v>0</v>
      </c>
      <c r="E660" s="184">
        <v>0</v>
      </c>
      <c r="F660" s="184">
        <v>0</v>
      </c>
      <c r="G660" s="184">
        <v>0</v>
      </c>
      <c r="H660" s="184">
        <v>0</v>
      </c>
      <c r="I660" s="184">
        <v>0</v>
      </c>
      <c r="J660" s="184">
        <v>0</v>
      </c>
      <c r="K660" s="184">
        <v>0</v>
      </c>
      <c r="L660" s="184">
        <v>0</v>
      </c>
      <c r="M660" s="654" t="s">
        <v>24</v>
      </c>
      <c r="N660" s="588" t="s">
        <v>42</v>
      </c>
      <c r="O660" s="642">
        <v>0</v>
      </c>
      <c r="P660" s="184">
        <v>0</v>
      </c>
      <c r="Q660" s="184">
        <v>0</v>
      </c>
      <c r="R660" s="184">
        <v>0</v>
      </c>
      <c r="S660" s="184">
        <v>0</v>
      </c>
      <c r="T660" s="184">
        <v>0</v>
      </c>
      <c r="U660" s="184">
        <v>0</v>
      </c>
      <c r="V660" s="184">
        <v>0</v>
      </c>
      <c r="W660" s="184">
        <v>0</v>
      </c>
      <c r="X660" s="184">
        <v>0</v>
      </c>
      <c r="Y660" s="184">
        <v>0</v>
      </c>
      <c r="Z660" s="184">
        <v>0</v>
      </c>
      <c r="AA660" s="184">
        <v>0</v>
      </c>
      <c r="AB660" s="184">
        <v>0</v>
      </c>
      <c r="AC660" s="185" t="s">
        <v>24</v>
      </c>
      <c r="AD660" s="185" t="s">
        <v>24</v>
      </c>
      <c r="AE660" s="184">
        <v>0</v>
      </c>
      <c r="AF660" s="185">
        <v>0</v>
      </c>
      <c r="AG660" s="184">
        <v>0</v>
      </c>
      <c r="AH660" s="185">
        <v>0</v>
      </c>
      <c r="AI660" s="184">
        <v>0</v>
      </c>
      <c r="AJ660" s="643">
        <v>0</v>
      </c>
    </row>
    <row r="661" spans="1:36" x14ac:dyDescent="0.2">
      <c r="A661" s="440" t="s">
        <v>39</v>
      </c>
      <c r="B661" s="642">
        <v>1</v>
      </c>
      <c r="C661" s="184">
        <v>0</v>
      </c>
      <c r="D661" s="184">
        <v>1</v>
      </c>
      <c r="E661" s="184">
        <v>0</v>
      </c>
      <c r="F661" s="184">
        <v>0</v>
      </c>
      <c r="G661" s="184">
        <v>0</v>
      </c>
      <c r="H661" s="184">
        <v>0</v>
      </c>
      <c r="I661" s="184">
        <v>0</v>
      </c>
      <c r="J661" s="184">
        <v>0</v>
      </c>
      <c r="K661" s="184">
        <v>0</v>
      </c>
      <c r="L661" s="184">
        <v>0</v>
      </c>
      <c r="M661" s="654" t="s">
        <v>24</v>
      </c>
      <c r="N661" s="588" t="s">
        <v>39</v>
      </c>
      <c r="O661" s="642">
        <v>0</v>
      </c>
      <c r="P661" s="184">
        <v>0</v>
      </c>
      <c r="Q661" s="184">
        <v>0</v>
      </c>
      <c r="R661" s="184">
        <v>0</v>
      </c>
      <c r="S661" s="184">
        <v>0</v>
      </c>
      <c r="T661" s="184">
        <v>0</v>
      </c>
      <c r="U661" s="184">
        <v>0</v>
      </c>
      <c r="V661" s="184">
        <v>1</v>
      </c>
      <c r="W661" s="184">
        <v>0</v>
      </c>
      <c r="X661" s="184">
        <v>0</v>
      </c>
      <c r="Y661" s="184">
        <v>0</v>
      </c>
      <c r="Z661" s="184">
        <v>0</v>
      </c>
      <c r="AA661" s="184">
        <v>0</v>
      </c>
      <c r="AB661" s="184">
        <v>0</v>
      </c>
      <c r="AC661" s="185">
        <v>42.4</v>
      </c>
      <c r="AD661" s="185" t="s">
        <v>24</v>
      </c>
      <c r="AE661" s="184">
        <v>0</v>
      </c>
      <c r="AF661" s="185">
        <v>0</v>
      </c>
      <c r="AG661" s="184">
        <v>0</v>
      </c>
      <c r="AH661" s="185">
        <v>0</v>
      </c>
      <c r="AI661" s="184">
        <v>0</v>
      </c>
      <c r="AJ661" s="643">
        <v>0</v>
      </c>
    </row>
    <row r="662" spans="1:36" x14ac:dyDescent="0.2">
      <c r="A662" s="440" t="s">
        <v>45</v>
      </c>
      <c r="B662" s="642">
        <v>0</v>
      </c>
      <c r="C662" s="184">
        <v>0</v>
      </c>
      <c r="D662" s="184">
        <v>0</v>
      </c>
      <c r="E662" s="184">
        <v>0</v>
      </c>
      <c r="F662" s="184">
        <v>0</v>
      </c>
      <c r="G662" s="184">
        <v>0</v>
      </c>
      <c r="H662" s="184">
        <v>0</v>
      </c>
      <c r="I662" s="184">
        <v>0</v>
      </c>
      <c r="J662" s="184">
        <v>0</v>
      </c>
      <c r="K662" s="184">
        <v>0</v>
      </c>
      <c r="L662" s="184">
        <v>0</v>
      </c>
      <c r="M662" s="654" t="s">
        <v>24</v>
      </c>
      <c r="N662" s="588" t="s">
        <v>45</v>
      </c>
      <c r="O662" s="642">
        <v>0</v>
      </c>
      <c r="P662" s="184">
        <v>0</v>
      </c>
      <c r="Q662" s="184">
        <v>0</v>
      </c>
      <c r="R662" s="184">
        <v>0</v>
      </c>
      <c r="S662" s="184">
        <v>0</v>
      </c>
      <c r="T662" s="184">
        <v>0</v>
      </c>
      <c r="U662" s="184">
        <v>0</v>
      </c>
      <c r="V662" s="184">
        <v>0</v>
      </c>
      <c r="W662" s="184">
        <v>0</v>
      </c>
      <c r="X662" s="184">
        <v>0</v>
      </c>
      <c r="Y662" s="184">
        <v>0</v>
      </c>
      <c r="Z662" s="184">
        <v>0</v>
      </c>
      <c r="AA662" s="184">
        <v>0</v>
      </c>
      <c r="AB662" s="184">
        <v>0</v>
      </c>
      <c r="AC662" s="185" t="s">
        <v>24</v>
      </c>
      <c r="AD662" s="185" t="s">
        <v>24</v>
      </c>
      <c r="AE662" s="184">
        <v>0</v>
      </c>
      <c r="AF662" s="185">
        <v>0</v>
      </c>
      <c r="AG662" s="184">
        <v>0</v>
      </c>
      <c r="AH662" s="185">
        <v>0</v>
      </c>
      <c r="AI662" s="184">
        <v>0</v>
      </c>
      <c r="AJ662" s="643">
        <v>0</v>
      </c>
    </row>
    <row r="663" spans="1:36" x14ac:dyDescent="0.2">
      <c r="A663" s="440" t="s">
        <v>47</v>
      </c>
      <c r="B663" s="642">
        <v>0</v>
      </c>
      <c r="C663" s="184">
        <v>0</v>
      </c>
      <c r="D663" s="184">
        <v>0</v>
      </c>
      <c r="E663" s="184">
        <v>0</v>
      </c>
      <c r="F663" s="184">
        <v>0</v>
      </c>
      <c r="G663" s="184">
        <v>0</v>
      </c>
      <c r="H663" s="184">
        <v>0</v>
      </c>
      <c r="I663" s="184">
        <v>0</v>
      </c>
      <c r="J663" s="184">
        <v>0</v>
      </c>
      <c r="K663" s="184">
        <v>0</v>
      </c>
      <c r="L663" s="184">
        <v>0</v>
      </c>
      <c r="M663" s="654" t="s">
        <v>24</v>
      </c>
      <c r="N663" s="588" t="s">
        <v>47</v>
      </c>
      <c r="O663" s="642">
        <v>0</v>
      </c>
      <c r="P663" s="184">
        <v>0</v>
      </c>
      <c r="Q663" s="184">
        <v>0</v>
      </c>
      <c r="R663" s="184">
        <v>0</v>
      </c>
      <c r="S663" s="184">
        <v>0</v>
      </c>
      <c r="T663" s="184">
        <v>0</v>
      </c>
      <c r="U663" s="184">
        <v>0</v>
      </c>
      <c r="V663" s="184">
        <v>0</v>
      </c>
      <c r="W663" s="184">
        <v>0</v>
      </c>
      <c r="X663" s="184">
        <v>0</v>
      </c>
      <c r="Y663" s="184">
        <v>0</v>
      </c>
      <c r="Z663" s="184">
        <v>0</v>
      </c>
      <c r="AA663" s="184">
        <v>0</v>
      </c>
      <c r="AB663" s="184">
        <v>0</v>
      </c>
      <c r="AC663" s="185" t="s">
        <v>24</v>
      </c>
      <c r="AD663" s="185" t="s">
        <v>24</v>
      </c>
      <c r="AE663" s="184">
        <v>0</v>
      </c>
      <c r="AF663" s="185">
        <v>0</v>
      </c>
      <c r="AG663" s="184">
        <v>0</v>
      </c>
      <c r="AH663" s="185">
        <v>0</v>
      </c>
      <c r="AI663" s="184">
        <v>0</v>
      </c>
      <c r="AJ663" s="643">
        <v>0</v>
      </c>
    </row>
    <row r="664" spans="1:36" x14ac:dyDescent="0.2">
      <c r="A664" s="440" t="s">
        <v>49</v>
      </c>
      <c r="B664" s="642">
        <v>0</v>
      </c>
      <c r="C664" s="184">
        <v>0</v>
      </c>
      <c r="D664" s="184">
        <v>0</v>
      </c>
      <c r="E664" s="184">
        <v>0</v>
      </c>
      <c r="F664" s="184">
        <v>0</v>
      </c>
      <c r="G664" s="184">
        <v>0</v>
      </c>
      <c r="H664" s="184">
        <v>0</v>
      </c>
      <c r="I664" s="184">
        <v>0</v>
      </c>
      <c r="J664" s="184">
        <v>0</v>
      </c>
      <c r="K664" s="184">
        <v>0</v>
      </c>
      <c r="L664" s="184">
        <v>0</v>
      </c>
      <c r="M664" s="654" t="s">
        <v>24</v>
      </c>
      <c r="N664" s="588" t="s">
        <v>49</v>
      </c>
      <c r="O664" s="642">
        <v>0</v>
      </c>
      <c r="P664" s="184">
        <v>0</v>
      </c>
      <c r="Q664" s="184">
        <v>0</v>
      </c>
      <c r="R664" s="184">
        <v>0</v>
      </c>
      <c r="S664" s="184">
        <v>0</v>
      </c>
      <c r="T664" s="184">
        <v>0</v>
      </c>
      <c r="U664" s="184">
        <v>0</v>
      </c>
      <c r="V664" s="184">
        <v>0</v>
      </c>
      <c r="W664" s="184">
        <v>0</v>
      </c>
      <c r="X664" s="184">
        <v>0</v>
      </c>
      <c r="Y664" s="184">
        <v>0</v>
      </c>
      <c r="Z664" s="184">
        <v>0</v>
      </c>
      <c r="AA664" s="184">
        <v>0</v>
      </c>
      <c r="AB664" s="184">
        <v>0</v>
      </c>
      <c r="AC664" s="185" t="s">
        <v>24</v>
      </c>
      <c r="AD664" s="185" t="s">
        <v>24</v>
      </c>
      <c r="AE664" s="184">
        <v>0</v>
      </c>
      <c r="AF664" s="185">
        <v>0</v>
      </c>
      <c r="AG664" s="184">
        <v>0</v>
      </c>
      <c r="AH664" s="185">
        <v>0</v>
      </c>
      <c r="AI664" s="184">
        <v>0</v>
      </c>
      <c r="AJ664" s="643">
        <v>0</v>
      </c>
    </row>
    <row r="665" spans="1:36" x14ac:dyDescent="0.2">
      <c r="A665" s="440" t="s">
        <v>41</v>
      </c>
      <c r="B665" s="642">
        <v>0</v>
      </c>
      <c r="C665" s="184">
        <v>0</v>
      </c>
      <c r="D665" s="184">
        <v>0</v>
      </c>
      <c r="E665" s="184">
        <v>0</v>
      </c>
      <c r="F665" s="184">
        <v>0</v>
      </c>
      <c r="G665" s="184">
        <v>0</v>
      </c>
      <c r="H665" s="184">
        <v>0</v>
      </c>
      <c r="I665" s="184">
        <v>0</v>
      </c>
      <c r="J665" s="184">
        <v>0</v>
      </c>
      <c r="K665" s="184">
        <v>0</v>
      </c>
      <c r="L665" s="184">
        <v>0</v>
      </c>
      <c r="M665" s="654" t="s">
        <v>24</v>
      </c>
      <c r="N665" s="588" t="s">
        <v>41</v>
      </c>
      <c r="O665" s="642">
        <v>0</v>
      </c>
      <c r="P665" s="184">
        <v>0</v>
      </c>
      <c r="Q665" s="184">
        <v>0</v>
      </c>
      <c r="R665" s="184">
        <v>0</v>
      </c>
      <c r="S665" s="184">
        <v>0</v>
      </c>
      <c r="T665" s="184">
        <v>0</v>
      </c>
      <c r="U665" s="184">
        <v>0</v>
      </c>
      <c r="V665" s="184">
        <v>0</v>
      </c>
      <c r="W665" s="184">
        <v>0</v>
      </c>
      <c r="X665" s="184">
        <v>0</v>
      </c>
      <c r="Y665" s="184">
        <v>0</v>
      </c>
      <c r="Z665" s="184">
        <v>0</v>
      </c>
      <c r="AA665" s="184">
        <v>0</v>
      </c>
      <c r="AB665" s="184">
        <v>0</v>
      </c>
      <c r="AC665" s="185" t="s">
        <v>24</v>
      </c>
      <c r="AD665" s="185" t="s">
        <v>24</v>
      </c>
      <c r="AE665" s="184">
        <v>0</v>
      </c>
      <c r="AF665" s="185">
        <v>0</v>
      </c>
      <c r="AG665" s="184">
        <v>0</v>
      </c>
      <c r="AH665" s="185">
        <v>0</v>
      </c>
      <c r="AI665" s="184">
        <v>0</v>
      </c>
      <c r="AJ665" s="643">
        <v>0</v>
      </c>
    </row>
    <row r="666" spans="1:36" x14ac:dyDescent="0.2">
      <c r="A666" s="440" t="s">
        <v>52</v>
      </c>
      <c r="B666" s="642">
        <v>0</v>
      </c>
      <c r="C666" s="184">
        <v>0</v>
      </c>
      <c r="D666" s="184">
        <v>0</v>
      </c>
      <c r="E666" s="184">
        <v>0</v>
      </c>
      <c r="F666" s="184">
        <v>0</v>
      </c>
      <c r="G666" s="184">
        <v>0</v>
      </c>
      <c r="H666" s="184">
        <v>0</v>
      </c>
      <c r="I666" s="184">
        <v>0</v>
      </c>
      <c r="J666" s="184">
        <v>0</v>
      </c>
      <c r="K666" s="184">
        <v>0</v>
      </c>
      <c r="L666" s="184">
        <v>0</v>
      </c>
      <c r="M666" s="654" t="s">
        <v>24</v>
      </c>
      <c r="N666" s="588" t="s">
        <v>52</v>
      </c>
      <c r="O666" s="642">
        <v>0</v>
      </c>
      <c r="P666" s="184">
        <v>0</v>
      </c>
      <c r="Q666" s="184">
        <v>0</v>
      </c>
      <c r="R666" s="184">
        <v>0</v>
      </c>
      <c r="S666" s="184">
        <v>0</v>
      </c>
      <c r="T666" s="184">
        <v>0</v>
      </c>
      <c r="U666" s="184">
        <v>0</v>
      </c>
      <c r="V666" s="184">
        <v>0</v>
      </c>
      <c r="W666" s="184">
        <v>0</v>
      </c>
      <c r="X666" s="184">
        <v>0</v>
      </c>
      <c r="Y666" s="184">
        <v>0</v>
      </c>
      <c r="Z666" s="184">
        <v>0</v>
      </c>
      <c r="AA666" s="184">
        <v>0</v>
      </c>
      <c r="AB666" s="184">
        <v>0</v>
      </c>
      <c r="AC666" s="185" t="s">
        <v>24</v>
      </c>
      <c r="AD666" s="185" t="s">
        <v>24</v>
      </c>
      <c r="AE666" s="184">
        <v>0</v>
      </c>
      <c r="AF666" s="185">
        <v>0</v>
      </c>
      <c r="AG666" s="184">
        <v>0</v>
      </c>
      <c r="AH666" s="185">
        <v>0</v>
      </c>
      <c r="AI666" s="184">
        <v>0</v>
      </c>
      <c r="AJ666" s="643">
        <v>0</v>
      </c>
    </row>
    <row r="667" spans="1:36" x14ac:dyDescent="0.2">
      <c r="A667" s="440" t="s">
        <v>54</v>
      </c>
      <c r="B667" s="642">
        <v>0</v>
      </c>
      <c r="C667" s="184">
        <v>0</v>
      </c>
      <c r="D667" s="184">
        <v>0</v>
      </c>
      <c r="E667" s="184">
        <v>0</v>
      </c>
      <c r="F667" s="184">
        <v>0</v>
      </c>
      <c r="G667" s="184">
        <v>0</v>
      </c>
      <c r="H667" s="184">
        <v>0</v>
      </c>
      <c r="I667" s="184">
        <v>0</v>
      </c>
      <c r="J667" s="184">
        <v>0</v>
      </c>
      <c r="K667" s="184">
        <v>0</v>
      </c>
      <c r="L667" s="184">
        <v>0</v>
      </c>
      <c r="M667" s="654" t="s">
        <v>24</v>
      </c>
      <c r="N667" s="588" t="s">
        <v>54</v>
      </c>
      <c r="O667" s="642">
        <v>0</v>
      </c>
      <c r="P667" s="184">
        <v>0</v>
      </c>
      <c r="Q667" s="184">
        <v>0</v>
      </c>
      <c r="R667" s="184">
        <v>0</v>
      </c>
      <c r="S667" s="184">
        <v>0</v>
      </c>
      <c r="T667" s="184">
        <v>0</v>
      </c>
      <c r="U667" s="184">
        <v>0</v>
      </c>
      <c r="V667" s="184">
        <v>0</v>
      </c>
      <c r="W667" s="184">
        <v>0</v>
      </c>
      <c r="X667" s="184">
        <v>0</v>
      </c>
      <c r="Y667" s="184">
        <v>0</v>
      </c>
      <c r="Z667" s="184">
        <v>0</v>
      </c>
      <c r="AA667" s="184">
        <v>0</v>
      </c>
      <c r="AB667" s="184">
        <v>0</v>
      </c>
      <c r="AC667" s="185" t="s">
        <v>24</v>
      </c>
      <c r="AD667" s="185" t="s">
        <v>24</v>
      </c>
      <c r="AE667" s="184">
        <v>0</v>
      </c>
      <c r="AF667" s="185">
        <v>0</v>
      </c>
      <c r="AG667" s="184">
        <v>0</v>
      </c>
      <c r="AH667" s="185">
        <v>0</v>
      </c>
      <c r="AI667" s="184">
        <v>0</v>
      </c>
      <c r="AJ667" s="643">
        <v>0</v>
      </c>
    </row>
    <row r="668" spans="1:36" x14ac:dyDescent="0.2">
      <c r="A668" s="440" t="s">
        <v>56</v>
      </c>
      <c r="B668" s="642">
        <v>0</v>
      </c>
      <c r="C668" s="184">
        <v>0</v>
      </c>
      <c r="D668" s="184">
        <v>0</v>
      </c>
      <c r="E668" s="184">
        <v>0</v>
      </c>
      <c r="F668" s="184">
        <v>0</v>
      </c>
      <c r="G668" s="184">
        <v>0</v>
      </c>
      <c r="H668" s="184">
        <v>0</v>
      </c>
      <c r="I668" s="184">
        <v>0</v>
      </c>
      <c r="J668" s="184">
        <v>0</v>
      </c>
      <c r="K668" s="184">
        <v>0</v>
      </c>
      <c r="L668" s="184">
        <v>0</v>
      </c>
      <c r="M668" s="654" t="s">
        <v>24</v>
      </c>
      <c r="N668" s="588" t="s">
        <v>56</v>
      </c>
      <c r="O668" s="642">
        <v>0</v>
      </c>
      <c r="P668" s="184">
        <v>0</v>
      </c>
      <c r="Q668" s="184">
        <v>0</v>
      </c>
      <c r="R668" s="184">
        <v>0</v>
      </c>
      <c r="S668" s="184">
        <v>0</v>
      </c>
      <c r="T668" s="184">
        <v>0</v>
      </c>
      <c r="U668" s="184">
        <v>0</v>
      </c>
      <c r="V668" s="184">
        <v>0</v>
      </c>
      <c r="W668" s="184">
        <v>0</v>
      </c>
      <c r="X668" s="184">
        <v>0</v>
      </c>
      <c r="Y668" s="184">
        <v>0</v>
      </c>
      <c r="Z668" s="184">
        <v>0</v>
      </c>
      <c r="AA668" s="184">
        <v>0</v>
      </c>
      <c r="AB668" s="184">
        <v>0</v>
      </c>
      <c r="AC668" s="185" t="s">
        <v>24</v>
      </c>
      <c r="AD668" s="185" t="s">
        <v>24</v>
      </c>
      <c r="AE668" s="184">
        <v>0</v>
      </c>
      <c r="AF668" s="185">
        <v>0</v>
      </c>
      <c r="AG668" s="184">
        <v>0</v>
      </c>
      <c r="AH668" s="185">
        <v>0</v>
      </c>
      <c r="AI668" s="184">
        <v>0</v>
      </c>
      <c r="AJ668" s="643">
        <v>0</v>
      </c>
    </row>
    <row r="669" spans="1:36" x14ac:dyDescent="0.2">
      <c r="A669" s="440" t="s">
        <v>43</v>
      </c>
      <c r="B669" s="642">
        <v>1</v>
      </c>
      <c r="C669" s="184">
        <v>0</v>
      </c>
      <c r="D669" s="184">
        <v>1</v>
      </c>
      <c r="E669" s="184">
        <v>0</v>
      </c>
      <c r="F669" s="184">
        <v>0</v>
      </c>
      <c r="G669" s="184">
        <v>0</v>
      </c>
      <c r="H669" s="184">
        <v>0</v>
      </c>
      <c r="I669" s="184">
        <v>0</v>
      </c>
      <c r="J669" s="184">
        <v>0</v>
      </c>
      <c r="K669" s="184">
        <v>0</v>
      </c>
      <c r="L669" s="184">
        <v>0</v>
      </c>
      <c r="M669" s="654" t="s">
        <v>24</v>
      </c>
      <c r="N669" s="588" t="s">
        <v>43</v>
      </c>
      <c r="O669" s="642">
        <v>0</v>
      </c>
      <c r="P669" s="184">
        <v>0</v>
      </c>
      <c r="Q669" s="184">
        <v>0</v>
      </c>
      <c r="R669" s="184">
        <v>0</v>
      </c>
      <c r="S669" s="184">
        <v>0</v>
      </c>
      <c r="T669" s="184">
        <v>0</v>
      </c>
      <c r="U669" s="184">
        <v>0</v>
      </c>
      <c r="V669" s="184">
        <v>1</v>
      </c>
      <c r="W669" s="184">
        <v>0</v>
      </c>
      <c r="X669" s="184">
        <v>0</v>
      </c>
      <c r="Y669" s="184">
        <v>0</v>
      </c>
      <c r="Z669" s="184">
        <v>0</v>
      </c>
      <c r="AA669" s="184">
        <v>0</v>
      </c>
      <c r="AB669" s="184">
        <v>0</v>
      </c>
      <c r="AC669" s="185">
        <v>43.6</v>
      </c>
      <c r="AD669" s="185" t="s">
        <v>24</v>
      </c>
      <c r="AE669" s="184">
        <v>0</v>
      </c>
      <c r="AF669" s="185">
        <v>0</v>
      </c>
      <c r="AG669" s="184">
        <v>0</v>
      </c>
      <c r="AH669" s="185">
        <v>0</v>
      </c>
      <c r="AI669" s="184">
        <v>0</v>
      </c>
      <c r="AJ669" s="643">
        <v>0</v>
      </c>
    </row>
    <row r="670" spans="1:36" x14ac:dyDescent="0.2">
      <c r="A670" s="440" t="s">
        <v>59</v>
      </c>
      <c r="B670" s="642">
        <v>0</v>
      </c>
      <c r="C670" s="184">
        <v>0</v>
      </c>
      <c r="D670" s="184">
        <v>0</v>
      </c>
      <c r="E670" s="184">
        <v>0</v>
      </c>
      <c r="F670" s="184">
        <v>0</v>
      </c>
      <c r="G670" s="184">
        <v>0</v>
      </c>
      <c r="H670" s="184">
        <v>0</v>
      </c>
      <c r="I670" s="184">
        <v>0</v>
      </c>
      <c r="J670" s="184">
        <v>0</v>
      </c>
      <c r="K670" s="184">
        <v>0</v>
      </c>
      <c r="L670" s="184">
        <v>0</v>
      </c>
      <c r="M670" s="654" t="s">
        <v>24</v>
      </c>
      <c r="N670" s="588" t="s">
        <v>59</v>
      </c>
      <c r="O670" s="642">
        <v>0</v>
      </c>
      <c r="P670" s="184">
        <v>0</v>
      </c>
      <c r="Q670" s="184">
        <v>0</v>
      </c>
      <c r="R670" s="184">
        <v>0</v>
      </c>
      <c r="S670" s="184">
        <v>0</v>
      </c>
      <c r="T670" s="184">
        <v>0</v>
      </c>
      <c r="U670" s="184">
        <v>0</v>
      </c>
      <c r="V670" s="184">
        <v>0</v>
      </c>
      <c r="W670" s="184">
        <v>0</v>
      </c>
      <c r="X670" s="184">
        <v>0</v>
      </c>
      <c r="Y670" s="184">
        <v>0</v>
      </c>
      <c r="Z670" s="184">
        <v>0</v>
      </c>
      <c r="AA670" s="184">
        <v>0</v>
      </c>
      <c r="AB670" s="184">
        <v>0</v>
      </c>
      <c r="AC670" s="185" t="s">
        <v>24</v>
      </c>
      <c r="AD670" s="185" t="s">
        <v>24</v>
      </c>
      <c r="AE670" s="184">
        <v>0</v>
      </c>
      <c r="AF670" s="185">
        <v>0</v>
      </c>
      <c r="AG670" s="184">
        <v>0</v>
      </c>
      <c r="AH670" s="185">
        <v>0</v>
      </c>
      <c r="AI670" s="184">
        <v>0</v>
      </c>
      <c r="AJ670" s="643">
        <v>0</v>
      </c>
    </row>
    <row r="671" spans="1:36" x14ac:dyDescent="0.2">
      <c r="A671" s="440" t="s">
        <v>61</v>
      </c>
      <c r="B671" s="642">
        <v>1</v>
      </c>
      <c r="C671" s="184">
        <v>0</v>
      </c>
      <c r="D671" s="184">
        <v>1</v>
      </c>
      <c r="E671" s="184">
        <v>0</v>
      </c>
      <c r="F671" s="184">
        <v>0</v>
      </c>
      <c r="G671" s="184">
        <v>0</v>
      </c>
      <c r="H671" s="184">
        <v>0</v>
      </c>
      <c r="I671" s="184">
        <v>0</v>
      </c>
      <c r="J671" s="184">
        <v>0</v>
      </c>
      <c r="K671" s="184">
        <v>0</v>
      </c>
      <c r="L671" s="184">
        <v>0</v>
      </c>
      <c r="M671" s="654" t="s">
        <v>24</v>
      </c>
      <c r="N671" s="588" t="s">
        <v>61</v>
      </c>
      <c r="O671" s="642">
        <v>0</v>
      </c>
      <c r="P671" s="184">
        <v>0</v>
      </c>
      <c r="Q671" s="184">
        <v>0</v>
      </c>
      <c r="R671" s="184">
        <v>0</v>
      </c>
      <c r="S671" s="184">
        <v>0</v>
      </c>
      <c r="T671" s="184">
        <v>0</v>
      </c>
      <c r="U671" s="184">
        <v>0</v>
      </c>
      <c r="V671" s="184">
        <v>1</v>
      </c>
      <c r="W671" s="184">
        <v>0</v>
      </c>
      <c r="X671" s="184">
        <v>0</v>
      </c>
      <c r="Y671" s="184">
        <v>0</v>
      </c>
      <c r="Z671" s="184">
        <v>0</v>
      </c>
      <c r="AA671" s="184">
        <v>0</v>
      </c>
      <c r="AB671" s="184">
        <v>0</v>
      </c>
      <c r="AC671" s="185">
        <v>44.4</v>
      </c>
      <c r="AD671" s="185" t="s">
        <v>24</v>
      </c>
      <c r="AE671" s="184">
        <v>0</v>
      </c>
      <c r="AF671" s="185">
        <v>0</v>
      </c>
      <c r="AG671" s="184">
        <v>0</v>
      </c>
      <c r="AH671" s="185">
        <v>0</v>
      </c>
      <c r="AI671" s="184">
        <v>0</v>
      </c>
      <c r="AJ671" s="643">
        <v>0</v>
      </c>
    </row>
    <row r="672" spans="1:36" x14ac:dyDescent="0.2">
      <c r="A672" s="440" t="s">
        <v>63</v>
      </c>
      <c r="B672" s="642">
        <v>0</v>
      </c>
      <c r="C672" s="184">
        <v>0</v>
      </c>
      <c r="D672" s="184">
        <v>0</v>
      </c>
      <c r="E672" s="184">
        <v>0</v>
      </c>
      <c r="F672" s="184">
        <v>0</v>
      </c>
      <c r="G672" s="184">
        <v>0</v>
      </c>
      <c r="H672" s="184">
        <v>0</v>
      </c>
      <c r="I672" s="184">
        <v>0</v>
      </c>
      <c r="J672" s="184">
        <v>0</v>
      </c>
      <c r="K672" s="184">
        <v>0</v>
      </c>
      <c r="L672" s="184">
        <v>0</v>
      </c>
      <c r="M672" s="654" t="s">
        <v>24</v>
      </c>
      <c r="N672" s="588" t="s">
        <v>63</v>
      </c>
      <c r="O672" s="642">
        <v>0</v>
      </c>
      <c r="P672" s="184">
        <v>0</v>
      </c>
      <c r="Q672" s="184">
        <v>0</v>
      </c>
      <c r="R672" s="184">
        <v>0</v>
      </c>
      <c r="S672" s="184">
        <v>0</v>
      </c>
      <c r="T672" s="184">
        <v>0</v>
      </c>
      <c r="U672" s="184">
        <v>0</v>
      </c>
      <c r="V672" s="184">
        <v>0</v>
      </c>
      <c r="W672" s="184">
        <v>0</v>
      </c>
      <c r="X672" s="184">
        <v>0</v>
      </c>
      <c r="Y672" s="184">
        <v>0</v>
      </c>
      <c r="Z672" s="184">
        <v>0</v>
      </c>
      <c r="AA672" s="184">
        <v>0</v>
      </c>
      <c r="AB672" s="184">
        <v>0</v>
      </c>
      <c r="AC672" s="185" t="s">
        <v>24</v>
      </c>
      <c r="AD672" s="185" t="s">
        <v>24</v>
      </c>
      <c r="AE672" s="184">
        <v>0</v>
      </c>
      <c r="AF672" s="185">
        <v>0</v>
      </c>
      <c r="AG672" s="184">
        <v>0</v>
      </c>
      <c r="AH672" s="185">
        <v>0</v>
      </c>
      <c r="AI672" s="184">
        <v>0</v>
      </c>
      <c r="AJ672" s="643">
        <v>0</v>
      </c>
    </row>
    <row r="673" spans="1:36" x14ac:dyDescent="0.2">
      <c r="A673" s="440" t="s">
        <v>44</v>
      </c>
      <c r="B673" s="642">
        <v>0</v>
      </c>
      <c r="C673" s="184">
        <v>0</v>
      </c>
      <c r="D673" s="184">
        <v>0</v>
      </c>
      <c r="E673" s="184">
        <v>0</v>
      </c>
      <c r="F673" s="184">
        <v>0</v>
      </c>
      <c r="G673" s="184">
        <v>0</v>
      </c>
      <c r="H673" s="184">
        <v>0</v>
      </c>
      <c r="I673" s="184">
        <v>0</v>
      </c>
      <c r="J673" s="184">
        <v>0</v>
      </c>
      <c r="K673" s="184">
        <v>0</v>
      </c>
      <c r="L673" s="184">
        <v>0</v>
      </c>
      <c r="M673" s="654" t="s">
        <v>24</v>
      </c>
      <c r="N673" s="588" t="s">
        <v>44</v>
      </c>
      <c r="O673" s="642">
        <v>0</v>
      </c>
      <c r="P673" s="184">
        <v>0</v>
      </c>
      <c r="Q673" s="184">
        <v>0</v>
      </c>
      <c r="R673" s="184">
        <v>0</v>
      </c>
      <c r="S673" s="184">
        <v>0</v>
      </c>
      <c r="T673" s="184">
        <v>0</v>
      </c>
      <c r="U673" s="184">
        <v>0</v>
      </c>
      <c r="V673" s="184">
        <v>0</v>
      </c>
      <c r="W673" s="184">
        <v>0</v>
      </c>
      <c r="X673" s="184">
        <v>0</v>
      </c>
      <c r="Y673" s="184">
        <v>0</v>
      </c>
      <c r="Z673" s="184">
        <v>0</v>
      </c>
      <c r="AA673" s="184">
        <v>0</v>
      </c>
      <c r="AB673" s="184">
        <v>0</v>
      </c>
      <c r="AC673" s="185" t="s">
        <v>24</v>
      </c>
      <c r="AD673" s="185" t="s">
        <v>24</v>
      </c>
      <c r="AE673" s="184">
        <v>0</v>
      </c>
      <c r="AF673" s="185">
        <v>0</v>
      </c>
      <c r="AG673" s="184">
        <v>0</v>
      </c>
      <c r="AH673" s="185">
        <v>0</v>
      </c>
      <c r="AI673" s="184">
        <v>0</v>
      </c>
      <c r="AJ673" s="643">
        <v>0</v>
      </c>
    </row>
    <row r="674" spans="1:36" x14ac:dyDescent="0.2">
      <c r="A674" s="440" t="s">
        <v>66</v>
      </c>
      <c r="B674" s="642">
        <v>1</v>
      </c>
      <c r="C674" s="184">
        <v>0</v>
      </c>
      <c r="D674" s="184">
        <v>0</v>
      </c>
      <c r="E674" s="184">
        <v>0</v>
      </c>
      <c r="F674" s="184">
        <v>1</v>
      </c>
      <c r="G674" s="184">
        <v>0</v>
      </c>
      <c r="H674" s="184">
        <v>0</v>
      </c>
      <c r="I674" s="184">
        <v>0</v>
      </c>
      <c r="J674" s="184">
        <v>0</v>
      </c>
      <c r="K674" s="184">
        <v>0</v>
      </c>
      <c r="L674" s="184">
        <v>0</v>
      </c>
      <c r="M674" s="654" t="s">
        <v>24</v>
      </c>
      <c r="N674" s="588" t="s">
        <v>66</v>
      </c>
      <c r="O674" s="642">
        <v>0</v>
      </c>
      <c r="P674" s="184">
        <v>0</v>
      </c>
      <c r="Q674" s="184">
        <v>0</v>
      </c>
      <c r="R674" s="184">
        <v>0</v>
      </c>
      <c r="S674" s="184">
        <v>0</v>
      </c>
      <c r="T674" s="184">
        <v>0</v>
      </c>
      <c r="U674" s="184">
        <v>0</v>
      </c>
      <c r="V674" s="184">
        <v>0</v>
      </c>
      <c r="W674" s="184">
        <v>1</v>
      </c>
      <c r="X674" s="184">
        <v>0</v>
      </c>
      <c r="Y674" s="184">
        <v>0</v>
      </c>
      <c r="Z674" s="184">
        <v>0</v>
      </c>
      <c r="AA674" s="184">
        <v>0</v>
      </c>
      <c r="AB674" s="184">
        <v>0</v>
      </c>
      <c r="AC674" s="185">
        <v>49.2</v>
      </c>
      <c r="AD674" s="185" t="s">
        <v>24</v>
      </c>
      <c r="AE674" s="184">
        <v>0</v>
      </c>
      <c r="AF674" s="185">
        <v>0</v>
      </c>
      <c r="AG674" s="184">
        <v>0</v>
      </c>
      <c r="AH674" s="185">
        <v>0</v>
      </c>
      <c r="AI674" s="184">
        <v>0</v>
      </c>
      <c r="AJ674" s="643">
        <v>0</v>
      </c>
    </row>
    <row r="675" spans="1:36" x14ac:dyDescent="0.2">
      <c r="A675" s="440" t="s">
        <v>68</v>
      </c>
      <c r="B675" s="642">
        <v>0</v>
      </c>
      <c r="C675" s="184">
        <v>0</v>
      </c>
      <c r="D675" s="184">
        <v>0</v>
      </c>
      <c r="E675" s="184">
        <v>0</v>
      </c>
      <c r="F675" s="184">
        <v>0</v>
      </c>
      <c r="G675" s="184">
        <v>0</v>
      </c>
      <c r="H675" s="184">
        <v>0</v>
      </c>
      <c r="I675" s="184">
        <v>0</v>
      </c>
      <c r="J675" s="184">
        <v>0</v>
      </c>
      <c r="K675" s="184">
        <v>0</v>
      </c>
      <c r="L675" s="184">
        <v>0</v>
      </c>
      <c r="M675" s="654" t="s">
        <v>24</v>
      </c>
      <c r="N675" s="588" t="s">
        <v>68</v>
      </c>
      <c r="O675" s="642">
        <v>0</v>
      </c>
      <c r="P675" s="184">
        <v>0</v>
      </c>
      <c r="Q675" s="184">
        <v>0</v>
      </c>
      <c r="R675" s="184">
        <v>0</v>
      </c>
      <c r="S675" s="184">
        <v>0</v>
      </c>
      <c r="T675" s="184">
        <v>0</v>
      </c>
      <c r="U675" s="184">
        <v>0</v>
      </c>
      <c r="V675" s="184">
        <v>0</v>
      </c>
      <c r="W675" s="184">
        <v>0</v>
      </c>
      <c r="X675" s="184">
        <v>0</v>
      </c>
      <c r="Y675" s="184">
        <v>0</v>
      </c>
      <c r="Z675" s="184">
        <v>0</v>
      </c>
      <c r="AA675" s="184">
        <v>0</v>
      </c>
      <c r="AB675" s="184">
        <v>0</v>
      </c>
      <c r="AC675" s="185" t="s">
        <v>24</v>
      </c>
      <c r="AD675" s="185" t="s">
        <v>24</v>
      </c>
      <c r="AE675" s="184">
        <v>0</v>
      </c>
      <c r="AF675" s="185">
        <v>0</v>
      </c>
      <c r="AG675" s="184">
        <v>0</v>
      </c>
      <c r="AH675" s="185">
        <v>0</v>
      </c>
      <c r="AI675" s="184">
        <v>0</v>
      </c>
      <c r="AJ675" s="643">
        <v>0</v>
      </c>
    </row>
    <row r="676" spans="1:36" x14ac:dyDescent="0.2">
      <c r="A676" s="440" t="s">
        <v>70</v>
      </c>
      <c r="B676" s="642">
        <v>0</v>
      </c>
      <c r="C676" s="184">
        <v>0</v>
      </c>
      <c r="D676" s="184">
        <v>0</v>
      </c>
      <c r="E676" s="184">
        <v>0</v>
      </c>
      <c r="F676" s="184">
        <v>0</v>
      </c>
      <c r="G676" s="184">
        <v>0</v>
      </c>
      <c r="H676" s="184">
        <v>0</v>
      </c>
      <c r="I676" s="184">
        <v>0</v>
      </c>
      <c r="J676" s="184">
        <v>0</v>
      </c>
      <c r="K676" s="184">
        <v>0</v>
      </c>
      <c r="L676" s="184">
        <v>0</v>
      </c>
      <c r="M676" s="654" t="s">
        <v>24</v>
      </c>
      <c r="N676" s="588" t="s">
        <v>70</v>
      </c>
      <c r="O676" s="642">
        <v>0</v>
      </c>
      <c r="P676" s="184">
        <v>0</v>
      </c>
      <c r="Q676" s="184">
        <v>0</v>
      </c>
      <c r="R676" s="184">
        <v>0</v>
      </c>
      <c r="S676" s="184">
        <v>0</v>
      </c>
      <c r="T676" s="184">
        <v>0</v>
      </c>
      <c r="U676" s="184">
        <v>0</v>
      </c>
      <c r="V676" s="184">
        <v>0</v>
      </c>
      <c r="W676" s="184">
        <v>0</v>
      </c>
      <c r="X676" s="184">
        <v>0</v>
      </c>
      <c r="Y676" s="184">
        <v>0</v>
      </c>
      <c r="Z676" s="184">
        <v>0</v>
      </c>
      <c r="AA676" s="184">
        <v>0</v>
      </c>
      <c r="AB676" s="184">
        <v>0</v>
      </c>
      <c r="AC676" s="185" t="s">
        <v>24</v>
      </c>
      <c r="AD676" s="185" t="s">
        <v>24</v>
      </c>
      <c r="AE676" s="184">
        <v>0</v>
      </c>
      <c r="AF676" s="185">
        <v>0</v>
      </c>
      <c r="AG676" s="184">
        <v>0</v>
      </c>
      <c r="AH676" s="185">
        <v>0</v>
      </c>
      <c r="AI676" s="184">
        <v>0</v>
      </c>
      <c r="AJ676" s="643">
        <v>0</v>
      </c>
    </row>
    <row r="677" spans="1:36" x14ac:dyDescent="0.2">
      <c r="A677" s="440" t="s">
        <v>46</v>
      </c>
      <c r="B677" s="642">
        <v>2</v>
      </c>
      <c r="C677" s="184">
        <v>0</v>
      </c>
      <c r="D677" s="184">
        <v>2</v>
      </c>
      <c r="E677" s="184">
        <v>0</v>
      </c>
      <c r="F677" s="184">
        <v>0</v>
      </c>
      <c r="G677" s="184">
        <v>0</v>
      </c>
      <c r="H677" s="184">
        <v>0</v>
      </c>
      <c r="I677" s="184">
        <v>0</v>
      </c>
      <c r="J677" s="184">
        <v>0</v>
      </c>
      <c r="K677" s="184">
        <v>0</v>
      </c>
      <c r="L677" s="184">
        <v>0</v>
      </c>
      <c r="M677" s="654" t="s">
        <v>24</v>
      </c>
      <c r="N677" s="588" t="s">
        <v>46</v>
      </c>
      <c r="O677" s="642">
        <v>0</v>
      </c>
      <c r="P677" s="184">
        <v>0</v>
      </c>
      <c r="Q677" s="184">
        <v>0</v>
      </c>
      <c r="R677" s="184">
        <v>0</v>
      </c>
      <c r="S677" s="184">
        <v>0</v>
      </c>
      <c r="T677" s="184">
        <v>0</v>
      </c>
      <c r="U677" s="184">
        <v>0</v>
      </c>
      <c r="V677" s="184">
        <v>1</v>
      </c>
      <c r="W677" s="184">
        <v>1</v>
      </c>
      <c r="X677" s="184">
        <v>0</v>
      </c>
      <c r="Y677" s="184">
        <v>0</v>
      </c>
      <c r="Z677" s="184">
        <v>0</v>
      </c>
      <c r="AA677" s="184">
        <v>0</v>
      </c>
      <c r="AB677" s="184">
        <v>0</v>
      </c>
      <c r="AC677" s="185">
        <v>44.6</v>
      </c>
      <c r="AD677" s="185" t="s">
        <v>24</v>
      </c>
      <c r="AE677" s="184">
        <v>0</v>
      </c>
      <c r="AF677" s="185">
        <v>0</v>
      </c>
      <c r="AG677" s="184">
        <v>0</v>
      </c>
      <c r="AH677" s="185">
        <v>0</v>
      </c>
      <c r="AI677" s="184">
        <v>0</v>
      </c>
      <c r="AJ677" s="643">
        <v>0</v>
      </c>
    </row>
    <row r="678" spans="1:36" x14ac:dyDescent="0.2">
      <c r="A678" s="440" t="s">
        <v>73</v>
      </c>
      <c r="B678" s="642">
        <v>2</v>
      </c>
      <c r="C678" s="184">
        <v>0</v>
      </c>
      <c r="D678" s="184">
        <v>2</v>
      </c>
      <c r="E678" s="184">
        <v>0</v>
      </c>
      <c r="F678" s="184">
        <v>0</v>
      </c>
      <c r="G678" s="184">
        <v>0</v>
      </c>
      <c r="H678" s="184">
        <v>0</v>
      </c>
      <c r="I678" s="184">
        <v>0</v>
      </c>
      <c r="J678" s="184">
        <v>0</v>
      </c>
      <c r="K678" s="184">
        <v>0</v>
      </c>
      <c r="L678" s="184">
        <v>0</v>
      </c>
      <c r="M678" s="654" t="s">
        <v>24</v>
      </c>
      <c r="N678" s="588" t="s">
        <v>73</v>
      </c>
      <c r="O678" s="642">
        <v>0</v>
      </c>
      <c r="P678" s="184">
        <v>0</v>
      </c>
      <c r="Q678" s="184">
        <v>0</v>
      </c>
      <c r="R678" s="184">
        <v>0</v>
      </c>
      <c r="S678" s="184">
        <v>0</v>
      </c>
      <c r="T678" s="184">
        <v>0</v>
      </c>
      <c r="U678" s="184">
        <v>2</v>
      </c>
      <c r="V678" s="184">
        <v>0</v>
      </c>
      <c r="W678" s="184">
        <v>0</v>
      </c>
      <c r="X678" s="184">
        <v>0</v>
      </c>
      <c r="Y678" s="184">
        <v>0</v>
      </c>
      <c r="Z678" s="184">
        <v>0</v>
      </c>
      <c r="AA678" s="184">
        <v>0</v>
      </c>
      <c r="AB678" s="184">
        <v>0</v>
      </c>
      <c r="AC678" s="185">
        <v>38.299999999999997</v>
      </c>
      <c r="AD678" s="185" t="s">
        <v>24</v>
      </c>
      <c r="AE678" s="184">
        <v>0</v>
      </c>
      <c r="AF678" s="185">
        <v>0</v>
      </c>
      <c r="AG678" s="184">
        <v>0</v>
      </c>
      <c r="AH678" s="185">
        <v>0</v>
      </c>
      <c r="AI678" s="184">
        <v>0</v>
      </c>
      <c r="AJ678" s="643">
        <v>0</v>
      </c>
    </row>
    <row r="679" spans="1:36" x14ac:dyDescent="0.2">
      <c r="A679" s="440" t="s">
        <v>75</v>
      </c>
      <c r="B679" s="642">
        <v>4</v>
      </c>
      <c r="C679" s="184">
        <v>0</v>
      </c>
      <c r="D679" s="184">
        <v>4</v>
      </c>
      <c r="E679" s="184">
        <v>0</v>
      </c>
      <c r="F679" s="184">
        <v>0</v>
      </c>
      <c r="G679" s="184">
        <v>0</v>
      </c>
      <c r="H679" s="184">
        <v>0</v>
      </c>
      <c r="I679" s="184">
        <v>0</v>
      </c>
      <c r="J679" s="184">
        <v>0</v>
      </c>
      <c r="K679" s="184">
        <v>0</v>
      </c>
      <c r="L679" s="184">
        <v>0</v>
      </c>
      <c r="M679" s="654" t="s">
        <v>24</v>
      </c>
      <c r="N679" s="588" t="s">
        <v>75</v>
      </c>
      <c r="O679" s="642">
        <v>0</v>
      </c>
      <c r="P679" s="184">
        <v>0</v>
      </c>
      <c r="Q679" s="184">
        <v>0</v>
      </c>
      <c r="R679" s="184">
        <v>0</v>
      </c>
      <c r="S679" s="184">
        <v>0</v>
      </c>
      <c r="T679" s="184">
        <v>0</v>
      </c>
      <c r="U679" s="184">
        <v>0</v>
      </c>
      <c r="V679" s="184">
        <v>1</v>
      </c>
      <c r="W679" s="184">
        <v>1</v>
      </c>
      <c r="X679" s="184">
        <v>2</v>
      </c>
      <c r="Y679" s="184">
        <v>0</v>
      </c>
      <c r="Z679" s="184">
        <v>0</v>
      </c>
      <c r="AA679" s="184">
        <v>0</v>
      </c>
      <c r="AB679" s="184">
        <v>0</v>
      </c>
      <c r="AC679" s="185">
        <v>50.2</v>
      </c>
      <c r="AD679" s="185" t="s">
        <v>24</v>
      </c>
      <c r="AE679" s="184">
        <v>0</v>
      </c>
      <c r="AF679" s="185">
        <v>0</v>
      </c>
      <c r="AG679" s="184">
        <v>0</v>
      </c>
      <c r="AH679" s="185">
        <v>0</v>
      </c>
      <c r="AI679" s="184">
        <v>0</v>
      </c>
      <c r="AJ679" s="643">
        <v>0</v>
      </c>
    </row>
    <row r="680" spans="1:36" ht="13.5" thickBot="1" x14ac:dyDescent="0.25">
      <c r="A680" s="440" t="s">
        <v>77</v>
      </c>
      <c r="B680" s="644">
        <v>1</v>
      </c>
      <c r="C680" s="188">
        <v>0</v>
      </c>
      <c r="D680" s="188">
        <v>1</v>
      </c>
      <c r="E680" s="188">
        <v>0</v>
      </c>
      <c r="F680" s="188">
        <v>0</v>
      </c>
      <c r="G680" s="188">
        <v>0</v>
      </c>
      <c r="H680" s="188">
        <v>0</v>
      </c>
      <c r="I680" s="188">
        <v>0</v>
      </c>
      <c r="J680" s="188">
        <v>0</v>
      </c>
      <c r="K680" s="188">
        <v>0</v>
      </c>
      <c r="L680" s="188">
        <v>0</v>
      </c>
      <c r="M680" s="655" t="s">
        <v>24</v>
      </c>
      <c r="N680" s="588" t="s">
        <v>77</v>
      </c>
      <c r="O680" s="644">
        <v>0</v>
      </c>
      <c r="P680" s="188">
        <v>0</v>
      </c>
      <c r="Q680" s="188">
        <v>0</v>
      </c>
      <c r="R680" s="188">
        <v>0</v>
      </c>
      <c r="S680" s="188">
        <v>0</v>
      </c>
      <c r="T680" s="188">
        <v>0</v>
      </c>
      <c r="U680" s="188">
        <v>0</v>
      </c>
      <c r="V680" s="188">
        <v>1</v>
      </c>
      <c r="W680" s="188">
        <v>0</v>
      </c>
      <c r="X680" s="188">
        <v>0</v>
      </c>
      <c r="Y680" s="188">
        <v>0</v>
      </c>
      <c r="Z680" s="188">
        <v>0</v>
      </c>
      <c r="AA680" s="188">
        <v>0</v>
      </c>
      <c r="AB680" s="188">
        <v>0</v>
      </c>
      <c r="AC680" s="189">
        <v>41.2</v>
      </c>
      <c r="AD680" s="189" t="s">
        <v>24</v>
      </c>
      <c r="AE680" s="188">
        <v>0</v>
      </c>
      <c r="AF680" s="189">
        <v>0</v>
      </c>
      <c r="AG680" s="188">
        <v>0</v>
      </c>
      <c r="AH680" s="189">
        <v>0</v>
      </c>
      <c r="AI680" s="188">
        <v>0</v>
      </c>
      <c r="AJ680" s="645">
        <v>0</v>
      </c>
    </row>
    <row r="681" spans="1:36" x14ac:dyDescent="0.2">
      <c r="A681" s="440" t="s">
        <v>48</v>
      </c>
      <c r="B681" s="642">
        <v>3</v>
      </c>
      <c r="C681" s="184">
        <v>0</v>
      </c>
      <c r="D681" s="184">
        <v>2</v>
      </c>
      <c r="E681" s="184">
        <v>0</v>
      </c>
      <c r="F681" s="184">
        <v>1</v>
      </c>
      <c r="G681" s="184">
        <v>0</v>
      </c>
      <c r="H681" s="184">
        <v>0</v>
      </c>
      <c r="I681" s="184">
        <v>0</v>
      </c>
      <c r="J681" s="184">
        <v>0</v>
      </c>
      <c r="K681" s="184">
        <v>0</v>
      </c>
      <c r="L681" s="184">
        <v>0</v>
      </c>
      <c r="M681" s="654" t="s">
        <v>24</v>
      </c>
      <c r="N681" s="588" t="s">
        <v>48</v>
      </c>
      <c r="O681" s="642">
        <v>0</v>
      </c>
      <c r="P681" s="184">
        <v>0</v>
      </c>
      <c r="Q681" s="184">
        <v>0</v>
      </c>
      <c r="R681" s="184">
        <v>0</v>
      </c>
      <c r="S681" s="184">
        <v>0</v>
      </c>
      <c r="T681" s="184">
        <v>0</v>
      </c>
      <c r="U681" s="184">
        <v>1</v>
      </c>
      <c r="V681" s="184">
        <v>1</v>
      </c>
      <c r="W681" s="184">
        <v>0</v>
      </c>
      <c r="X681" s="184">
        <v>1</v>
      </c>
      <c r="Y681" s="184">
        <v>0</v>
      </c>
      <c r="Z681" s="184">
        <v>0</v>
      </c>
      <c r="AA681" s="184">
        <v>0</v>
      </c>
      <c r="AB681" s="184">
        <v>0</v>
      </c>
      <c r="AC681" s="185">
        <v>43</v>
      </c>
      <c r="AD681" s="185" t="s">
        <v>24</v>
      </c>
      <c r="AE681" s="184">
        <v>0</v>
      </c>
      <c r="AF681" s="185">
        <v>0</v>
      </c>
      <c r="AG681" s="184">
        <v>0</v>
      </c>
      <c r="AH681" s="185">
        <v>0</v>
      </c>
      <c r="AI681" s="184">
        <v>0</v>
      </c>
      <c r="AJ681" s="643">
        <v>0</v>
      </c>
    </row>
    <row r="682" spans="1:36" x14ac:dyDescent="0.2">
      <c r="A682" s="440" t="s">
        <v>79</v>
      </c>
      <c r="B682" s="642">
        <v>6</v>
      </c>
      <c r="C682" s="184">
        <v>0</v>
      </c>
      <c r="D682" s="184">
        <v>6</v>
      </c>
      <c r="E682" s="184">
        <v>0</v>
      </c>
      <c r="F682" s="184">
        <v>0</v>
      </c>
      <c r="G682" s="184">
        <v>0</v>
      </c>
      <c r="H682" s="184">
        <v>0</v>
      </c>
      <c r="I682" s="184">
        <v>0</v>
      </c>
      <c r="J682" s="184">
        <v>0</v>
      </c>
      <c r="K682" s="184">
        <v>0</v>
      </c>
      <c r="L682" s="184">
        <v>0</v>
      </c>
      <c r="M682" s="654" t="s">
        <v>24</v>
      </c>
      <c r="N682" s="588" t="s">
        <v>79</v>
      </c>
      <c r="O682" s="642">
        <v>0</v>
      </c>
      <c r="P682" s="184">
        <v>0</v>
      </c>
      <c r="Q682" s="184">
        <v>0</v>
      </c>
      <c r="R682" s="184">
        <v>0</v>
      </c>
      <c r="S682" s="184">
        <v>0</v>
      </c>
      <c r="T682" s="184">
        <v>0</v>
      </c>
      <c r="U682" s="184">
        <v>0</v>
      </c>
      <c r="V682" s="184">
        <v>3</v>
      </c>
      <c r="W682" s="184">
        <v>2</v>
      </c>
      <c r="X682" s="184">
        <v>0</v>
      </c>
      <c r="Y682" s="184">
        <v>1</v>
      </c>
      <c r="Z682" s="184">
        <v>0</v>
      </c>
      <c r="AA682" s="184">
        <v>0</v>
      </c>
      <c r="AB682" s="184">
        <v>0</v>
      </c>
      <c r="AC682" s="185">
        <v>48.4</v>
      </c>
      <c r="AD682" s="185" t="s">
        <v>24</v>
      </c>
      <c r="AE682" s="184">
        <v>1</v>
      </c>
      <c r="AF682" s="185">
        <v>16.666666666666664</v>
      </c>
      <c r="AG682" s="184">
        <v>0</v>
      </c>
      <c r="AH682" s="185">
        <v>0</v>
      </c>
      <c r="AI682" s="184">
        <v>0</v>
      </c>
      <c r="AJ682" s="643">
        <v>0</v>
      </c>
    </row>
    <row r="683" spans="1:36" x14ac:dyDescent="0.2">
      <c r="A683" s="440" t="s">
        <v>80</v>
      </c>
      <c r="B683" s="642">
        <v>9</v>
      </c>
      <c r="C683" s="184">
        <v>0</v>
      </c>
      <c r="D683" s="184">
        <v>9</v>
      </c>
      <c r="E683" s="184">
        <v>0</v>
      </c>
      <c r="F683" s="184">
        <v>0</v>
      </c>
      <c r="G683" s="184">
        <v>0</v>
      </c>
      <c r="H683" s="184">
        <v>0</v>
      </c>
      <c r="I683" s="184">
        <v>0</v>
      </c>
      <c r="J683" s="184">
        <v>0</v>
      </c>
      <c r="K683" s="184">
        <v>0</v>
      </c>
      <c r="L683" s="184">
        <v>0</v>
      </c>
      <c r="M683" s="654" t="s">
        <v>24</v>
      </c>
      <c r="N683" s="588" t="s">
        <v>80</v>
      </c>
      <c r="O683" s="642">
        <v>0</v>
      </c>
      <c r="P683" s="184">
        <v>0</v>
      </c>
      <c r="Q683" s="184">
        <v>0</v>
      </c>
      <c r="R683" s="184">
        <v>0</v>
      </c>
      <c r="S683" s="184">
        <v>0</v>
      </c>
      <c r="T683" s="184">
        <v>0</v>
      </c>
      <c r="U683" s="184">
        <v>2</v>
      </c>
      <c r="V683" s="184">
        <v>3</v>
      </c>
      <c r="W683" s="184">
        <v>3</v>
      </c>
      <c r="X683" s="184">
        <v>1</v>
      </c>
      <c r="Y683" s="184">
        <v>0</v>
      </c>
      <c r="Z683" s="184">
        <v>0</v>
      </c>
      <c r="AA683" s="184">
        <v>0</v>
      </c>
      <c r="AB683" s="184">
        <v>0</v>
      </c>
      <c r="AC683" s="185">
        <v>43.9</v>
      </c>
      <c r="AD683" s="185" t="s">
        <v>24</v>
      </c>
      <c r="AE683" s="184">
        <v>0</v>
      </c>
      <c r="AF683" s="185">
        <v>0</v>
      </c>
      <c r="AG683" s="184">
        <v>0</v>
      </c>
      <c r="AH683" s="185">
        <v>0</v>
      </c>
      <c r="AI683" s="184">
        <v>0</v>
      </c>
      <c r="AJ683" s="643">
        <v>0</v>
      </c>
    </row>
    <row r="684" spans="1:36" ht="13.5" thickBot="1" x14ac:dyDescent="0.25">
      <c r="A684" s="440" t="s">
        <v>81</v>
      </c>
      <c r="B684" s="644">
        <v>9</v>
      </c>
      <c r="C684" s="188">
        <v>0</v>
      </c>
      <c r="D684" s="188">
        <v>9</v>
      </c>
      <c r="E684" s="188">
        <v>0</v>
      </c>
      <c r="F684" s="188">
        <v>0</v>
      </c>
      <c r="G684" s="188">
        <v>0</v>
      </c>
      <c r="H684" s="188">
        <v>0</v>
      </c>
      <c r="I684" s="188">
        <v>0</v>
      </c>
      <c r="J684" s="188">
        <v>0</v>
      </c>
      <c r="K684" s="188">
        <v>0</v>
      </c>
      <c r="L684" s="188">
        <v>0</v>
      </c>
      <c r="M684" s="655" t="s">
        <v>24</v>
      </c>
      <c r="N684" s="588" t="s">
        <v>81</v>
      </c>
      <c r="O684" s="644">
        <v>0</v>
      </c>
      <c r="P684" s="188">
        <v>0</v>
      </c>
      <c r="Q684" s="188">
        <v>0</v>
      </c>
      <c r="R684" s="188">
        <v>0</v>
      </c>
      <c r="S684" s="188">
        <v>0</v>
      </c>
      <c r="T684" s="188">
        <v>0</v>
      </c>
      <c r="U684" s="188">
        <v>2</v>
      </c>
      <c r="V684" s="188">
        <v>6</v>
      </c>
      <c r="W684" s="188">
        <v>1</v>
      </c>
      <c r="X684" s="188">
        <v>0</v>
      </c>
      <c r="Y684" s="188">
        <v>0</v>
      </c>
      <c r="Z684" s="188">
        <v>0</v>
      </c>
      <c r="AA684" s="188">
        <v>0</v>
      </c>
      <c r="AB684" s="188">
        <v>0</v>
      </c>
      <c r="AC684" s="189">
        <v>41.7</v>
      </c>
      <c r="AD684" s="189" t="s">
        <v>24</v>
      </c>
      <c r="AE684" s="188">
        <v>0</v>
      </c>
      <c r="AF684" s="189">
        <v>0</v>
      </c>
      <c r="AG684" s="188">
        <v>0</v>
      </c>
      <c r="AH684" s="189">
        <v>0</v>
      </c>
      <c r="AI684" s="188">
        <v>0</v>
      </c>
      <c r="AJ684" s="645">
        <v>0</v>
      </c>
    </row>
    <row r="685" spans="1:36" x14ac:dyDescent="0.2">
      <c r="A685" s="440" t="s">
        <v>50</v>
      </c>
      <c r="B685" s="646">
        <v>17</v>
      </c>
      <c r="C685" s="186">
        <v>0</v>
      </c>
      <c r="D685" s="186">
        <v>15</v>
      </c>
      <c r="E685" s="186">
        <v>1</v>
      </c>
      <c r="F685" s="186">
        <v>1</v>
      </c>
      <c r="G685" s="186">
        <v>0</v>
      </c>
      <c r="H685" s="186">
        <v>0</v>
      </c>
      <c r="I685" s="186">
        <v>0</v>
      </c>
      <c r="J685" s="186">
        <v>0</v>
      </c>
      <c r="K685" s="186">
        <v>0</v>
      </c>
      <c r="L685" s="186">
        <v>0</v>
      </c>
      <c r="M685" s="656" t="s">
        <v>24</v>
      </c>
      <c r="N685" s="588" t="s">
        <v>50</v>
      </c>
      <c r="O685" s="646">
        <v>0</v>
      </c>
      <c r="P685" s="186">
        <v>0</v>
      </c>
      <c r="Q685" s="186">
        <v>0</v>
      </c>
      <c r="R685" s="186">
        <v>0</v>
      </c>
      <c r="S685" s="186">
        <v>1</v>
      </c>
      <c r="T685" s="186">
        <v>2</v>
      </c>
      <c r="U685" s="186">
        <v>1</v>
      </c>
      <c r="V685" s="186">
        <v>4</v>
      </c>
      <c r="W685" s="186">
        <v>3</v>
      </c>
      <c r="X685" s="186">
        <v>6</v>
      </c>
      <c r="Y685" s="186">
        <v>0</v>
      </c>
      <c r="Z685" s="186">
        <v>0</v>
      </c>
      <c r="AA685" s="186">
        <v>0</v>
      </c>
      <c r="AB685" s="186">
        <v>0</v>
      </c>
      <c r="AC685" s="187">
        <v>44.9</v>
      </c>
      <c r="AD685" s="187">
        <v>53.5</v>
      </c>
      <c r="AE685" s="186">
        <v>0</v>
      </c>
      <c r="AF685" s="187">
        <v>0</v>
      </c>
      <c r="AG685" s="186">
        <v>0</v>
      </c>
      <c r="AH685" s="187">
        <v>0</v>
      </c>
      <c r="AI685" s="186">
        <v>0</v>
      </c>
      <c r="AJ685" s="647">
        <v>0</v>
      </c>
    </row>
    <row r="686" spans="1:36" x14ac:dyDescent="0.2">
      <c r="A686" s="440" t="s">
        <v>82</v>
      </c>
      <c r="B686" s="642">
        <v>14</v>
      </c>
      <c r="C686" s="184">
        <v>0</v>
      </c>
      <c r="D686" s="184">
        <v>12</v>
      </c>
      <c r="E686" s="184">
        <v>0</v>
      </c>
      <c r="F686" s="184">
        <v>2</v>
      </c>
      <c r="G686" s="184">
        <v>0</v>
      </c>
      <c r="H686" s="184">
        <v>0</v>
      </c>
      <c r="I686" s="184">
        <v>0</v>
      </c>
      <c r="J686" s="184">
        <v>0</v>
      </c>
      <c r="K686" s="184">
        <v>0</v>
      </c>
      <c r="L686" s="184">
        <v>0</v>
      </c>
      <c r="M686" s="654" t="s">
        <v>24</v>
      </c>
      <c r="N686" s="588" t="s">
        <v>82</v>
      </c>
      <c r="O686" s="642">
        <v>0</v>
      </c>
      <c r="P686" s="184">
        <v>0</v>
      </c>
      <c r="Q686" s="184">
        <v>0</v>
      </c>
      <c r="R686" s="184">
        <v>0</v>
      </c>
      <c r="S686" s="184">
        <v>0</v>
      </c>
      <c r="T686" s="184">
        <v>0</v>
      </c>
      <c r="U686" s="184">
        <v>3</v>
      </c>
      <c r="V686" s="184">
        <v>8</v>
      </c>
      <c r="W686" s="184">
        <v>2</v>
      </c>
      <c r="X686" s="184">
        <v>1</v>
      </c>
      <c r="Y686" s="184">
        <v>0</v>
      </c>
      <c r="Z686" s="184">
        <v>0</v>
      </c>
      <c r="AA686" s="184">
        <v>0</v>
      </c>
      <c r="AB686" s="184">
        <v>0</v>
      </c>
      <c r="AC686" s="185">
        <v>43</v>
      </c>
      <c r="AD686" s="185">
        <v>46.6</v>
      </c>
      <c r="AE686" s="184">
        <v>0</v>
      </c>
      <c r="AF686" s="185">
        <v>0</v>
      </c>
      <c r="AG686" s="184">
        <v>0</v>
      </c>
      <c r="AH686" s="185">
        <v>0</v>
      </c>
      <c r="AI686" s="184">
        <v>0</v>
      </c>
      <c r="AJ686" s="643">
        <v>0</v>
      </c>
    </row>
    <row r="687" spans="1:36" x14ac:dyDescent="0.2">
      <c r="A687" s="440" t="s">
        <v>83</v>
      </c>
      <c r="B687" s="642">
        <v>18</v>
      </c>
      <c r="C687" s="184">
        <v>0</v>
      </c>
      <c r="D687" s="184">
        <v>15</v>
      </c>
      <c r="E687" s="184">
        <v>1</v>
      </c>
      <c r="F687" s="184">
        <v>2</v>
      </c>
      <c r="G687" s="184">
        <v>0</v>
      </c>
      <c r="H687" s="184">
        <v>0</v>
      </c>
      <c r="I687" s="184">
        <v>0</v>
      </c>
      <c r="J687" s="184">
        <v>0</v>
      </c>
      <c r="K687" s="184">
        <v>0</v>
      </c>
      <c r="L687" s="184">
        <v>0</v>
      </c>
      <c r="M687" s="654" t="s">
        <v>24</v>
      </c>
      <c r="N687" s="588" t="s">
        <v>83</v>
      </c>
      <c r="O687" s="642">
        <v>0</v>
      </c>
      <c r="P687" s="184">
        <v>0</v>
      </c>
      <c r="Q687" s="184">
        <v>0</v>
      </c>
      <c r="R687" s="184">
        <v>0</v>
      </c>
      <c r="S687" s="184">
        <v>0</v>
      </c>
      <c r="T687" s="184">
        <v>0</v>
      </c>
      <c r="U687" s="184">
        <v>3</v>
      </c>
      <c r="V687" s="184">
        <v>3</v>
      </c>
      <c r="W687" s="184">
        <v>5</v>
      </c>
      <c r="X687" s="184">
        <v>7</v>
      </c>
      <c r="Y687" s="184">
        <v>0</v>
      </c>
      <c r="Z687" s="184">
        <v>0</v>
      </c>
      <c r="AA687" s="184">
        <v>0</v>
      </c>
      <c r="AB687" s="184">
        <v>0</v>
      </c>
      <c r="AC687" s="185">
        <v>47.5</v>
      </c>
      <c r="AD687" s="185">
        <v>54.6</v>
      </c>
      <c r="AE687" s="184">
        <v>0</v>
      </c>
      <c r="AF687" s="185">
        <v>0</v>
      </c>
      <c r="AG687" s="184">
        <v>0</v>
      </c>
      <c r="AH687" s="185">
        <v>0</v>
      </c>
      <c r="AI687" s="184">
        <v>0</v>
      </c>
      <c r="AJ687" s="643">
        <v>0</v>
      </c>
    </row>
    <row r="688" spans="1:36" x14ac:dyDescent="0.2">
      <c r="A688" s="440" t="s">
        <v>84</v>
      </c>
      <c r="B688" s="642">
        <v>22</v>
      </c>
      <c r="C688" s="184">
        <v>0</v>
      </c>
      <c r="D688" s="184">
        <v>18</v>
      </c>
      <c r="E688" s="184">
        <v>0</v>
      </c>
      <c r="F688" s="184">
        <v>3</v>
      </c>
      <c r="G688" s="184">
        <v>1</v>
      </c>
      <c r="H688" s="184">
        <v>0</v>
      </c>
      <c r="I688" s="184">
        <v>0</v>
      </c>
      <c r="J688" s="184">
        <v>0</v>
      </c>
      <c r="K688" s="184">
        <v>0</v>
      </c>
      <c r="L688" s="184">
        <v>0</v>
      </c>
      <c r="M688" s="654" t="s">
        <v>24</v>
      </c>
      <c r="N688" s="588" t="s">
        <v>84</v>
      </c>
      <c r="O688" s="642">
        <v>0</v>
      </c>
      <c r="P688" s="184">
        <v>0</v>
      </c>
      <c r="Q688" s="184">
        <v>0</v>
      </c>
      <c r="R688" s="184">
        <v>1</v>
      </c>
      <c r="S688" s="184">
        <v>0</v>
      </c>
      <c r="T688" s="184">
        <v>3</v>
      </c>
      <c r="U688" s="184">
        <v>5</v>
      </c>
      <c r="V688" s="184">
        <v>8</v>
      </c>
      <c r="W688" s="184">
        <v>4</v>
      </c>
      <c r="X688" s="184">
        <v>1</v>
      </c>
      <c r="Y688" s="184">
        <v>0</v>
      </c>
      <c r="Z688" s="184">
        <v>0</v>
      </c>
      <c r="AA688" s="184">
        <v>0</v>
      </c>
      <c r="AB688" s="184">
        <v>0</v>
      </c>
      <c r="AC688" s="185">
        <v>40.299999999999997</v>
      </c>
      <c r="AD688" s="185">
        <v>46.2</v>
      </c>
      <c r="AE688" s="184">
        <v>0</v>
      </c>
      <c r="AF688" s="185">
        <v>0</v>
      </c>
      <c r="AG688" s="184">
        <v>0</v>
      </c>
      <c r="AH688" s="185">
        <v>0</v>
      </c>
      <c r="AI688" s="184">
        <v>0</v>
      </c>
      <c r="AJ688" s="643">
        <v>0</v>
      </c>
    </row>
    <row r="689" spans="1:36" x14ac:dyDescent="0.2">
      <c r="A689" s="440" t="s">
        <v>51</v>
      </c>
      <c r="B689" s="642">
        <v>19</v>
      </c>
      <c r="C689" s="184">
        <v>0</v>
      </c>
      <c r="D689" s="184">
        <v>19</v>
      </c>
      <c r="E689" s="184">
        <v>0</v>
      </c>
      <c r="F689" s="184">
        <v>0</v>
      </c>
      <c r="G689" s="184">
        <v>0</v>
      </c>
      <c r="H689" s="184">
        <v>0</v>
      </c>
      <c r="I689" s="184">
        <v>0</v>
      </c>
      <c r="J689" s="184">
        <v>0</v>
      </c>
      <c r="K689" s="184">
        <v>0</v>
      </c>
      <c r="L689" s="184">
        <v>0</v>
      </c>
      <c r="M689" s="654" t="s">
        <v>24</v>
      </c>
      <c r="N689" s="588" t="s">
        <v>51</v>
      </c>
      <c r="O689" s="642">
        <v>0</v>
      </c>
      <c r="P689" s="184">
        <v>0</v>
      </c>
      <c r="Q689" s="184">
        <v>0</v>
      </c>
      <c r="R689" s="184">
        <v>0</v>
      </c>
      <c r="S689" s="184">
        <v>0</v>
      </c>
      <c r="T689" s="184">
        <v>3</v>
      </c>
      <c r="U689" s="184">
        <v>0</v>
      </c>
      <c r="V689" s="184">
        <v>15</v>
      </c>
      <c r="W689" s="184">
        <v>1</v>
      </c>
      <c r="X689" s="184">
        <v>0</v>
      </c>
      <c r="Y689" s="184">
        <v>0</v>
      </c>
      <c r="Z689" s="184">
        <v>0</v>
      </c>
      <c r="AA689" s="184">
        <v>0</v>
      </c>
      <c r="AB689" s="184">
        <v>0</v>
      </c>
      <c r="AC689" s="185">
        <v>41.5</v>
      </c>
      <c r="AD689" s="185">
        <v>44</v>
      </c>
      <c r="AE689" s="184">
        <v>0</v>
      </c>
      <c r="AF689" s="185">
        <v>0</v>
      </c>
      <c r="AG689" s="184">
        <v>0</v>
      </c>
      <c r="AH689" s="185">
        <v>0</v>
      </c>
      <c r="AI689" s="184">
        <v>0</v>
      </c>
      <c r="AJ689" s="643">
        <v>0</v>
      </c>
    </row>
    <row r="690" spans="1:36" x14ac:dyDescent="0.2">
      <c r="A690" s="440" t="s">
        <v>85</v>
      </c>
      <c r="B690" s="642">
        <v>30</v>
      </c>
      <c r="C690" s="184">
        <v>1</v>
      </c>
      <c r="D690" s="184">
        <v>27</v>
      </c>
      <c r="E690" s="184">
        <v>0</v>
      </c>
      <c r="F690" s="184">
        <v>2</v>
      </c>
      <c r="G690" s="184">
        <v>0</v>
      </c>
      <c r="H690" s="184">
        <v>0</v>
      </c>
      <c r="I690" s="184">
        <v>0</v>
      </c>
      <c r="J690" s="184">
        <v>0</v>
      </c>
      <c r="K690" s="184">
        <v>0</v>
      </c>
      <c r="L690" s="184">
        <v>0</v>
      </c>
      <c r="M690" s="654" t="s">
        <v>24</v>
      </c>
      <c r="N690" s="588" t="s">
        <v>85</v>
      </c>
      <c r="O690" s="642">
        <v>0</v>
      </c>
      <c r="P690" s="184">
        <v>0</v>
      </c>
      <c r="Q690" s="184">
        <v>0</v>
      </c>
      <c r="R690" s="184">
        <v>0</v>
      </c>
      <c r="S690" s="184">
        <v>1</v>
      </c>
      <c r="T690" s="184">
        <v>1</v>
      </c>
      <c r="U690" s="184">
        <v>9</v>
      </c>
      <c r="V690" s="184">
        <v>11</v>
      </c>
      <c r="W690" s="184">
        <v>5</v>
      </c>
      <c r="X690" s="184">
        <v>1</v>
      </c>
      <c r="Y690" s="184">
        <v>2</v>
      </c>
      <c r="Z690" s="184">
        <v>0</v>
      </c>
      <c r="AA690" s="184">
        <v>0</v>
      </c>
      <c r="AB690" s="184">
        <v>0</v>
      </c>
      <c r="AC690" s="185">
        <v>42.5</v>
      </c>
      <c r="AD690" s="185">
        <v>48.7</v>
      </c>
      <c r="AE690" s="184">
        <v>2</v>
      </c>
      <c r="AF690" s="185">
        <v>6.666666666666667</v>
      </c>
      <c r="AG690" s="184">
        <v>0</v>
      </c>
      <c r="AH690" s="185">
        <v>0</v>
      </c>
      <c r="AI690" s="184">
        <v>0</v>
      </c>
      <c r="AJ690" s="643">
        <v>0</v>
      </c>
    </row>
    <row r="691" spans="1:36" x14ac:dyDescent="0.2">
      <c r="A691" s="440" t="s">
        <v>86</v>
      </c>
      <c r="B691" s="642">
        <v>20</v>
      </c>
      <c r="C691" s="184">
        <v>0</v>
      </c>
      <c r="D691" s="184">
        <v>20</v>
      </c>
      <c r="E691" s="184">
        <v>0</v>
      </c>
      <c r="F691" s="184">
        <v>0</v>
      </c>
      <c r="G691" s="184">
        <v>0</v>
      </c>
      <c r="H691" s="184">
        <v>0</v>
      </c>
      <c r="I691" s="184">
        <v>0</v>
      </c>
      <c r="J691" s="184">
        <v>0</v>
      </c>
      <c r="K691" s="184">
        <v>0</v>
      </c>
      <c r="L691" s="184">
        <v>0</v>
      </c>
      <c r="M691" s="654" t="s">
        <v>24</v>
      </c>
      <c r="N691" s="588" t="s">
        <v>86</v>
      </c>
      <c r="O691" s="642">
        <v>0</v>
      </c>
      <c r="P691" s="184">
        <v>0</v>
      </c>
      <c r="Q691" s="184">
        <v>0</v>
      </c>
      <c r="R691" s="184">
        <v>0</v>
      </c>
      <c r="S691" s="184">
        <v>1</v>
      </c>
      <c r="T691" s="184">
        <v>4</v>
      </c>
      <c r="U691" s="184">
        <v>7</v>
      </c>
      <c r="V691" s="184">
        <v>7</v>
      </c>
      <c r="W691" s="184">
        <v>1</v>
      </c>
      <c r="X691" s="184">
        <v>0</v>
      </c>
      <c r="Y691" s="184">
        <v>0</v>
      </c>
      <c r="Z691" s="184">
        <v>0</v>
      </c>
      <c r="AA691" s="184">
        <v>0</v>
      </c>
      <c r="AB691" s="184">
        <v>0</v>
      </c>
      <c r="AC691" s="185">
        <v>38.6</v>
      </c>
      <c r="AD691" s="185">
        <v>43.1</v>
      </c>
      <c r="AE691" s="184">
        <v>0</v>
      </c>
      <c r="AF691" s="185">
        <v>0</v>
      </c>
      <c r="AG691" s="184">
        <v>0</v>
      </c>
      <c r="AH691" s="185">
        <v>0</v>
      </c>
      <c r="AI691" s="184">
        <v>0</v>
      </c>
      <c r="AJ691" s="643">
        <v>0</v>
      </c>
    </row>
    <row r="692" spans="1:36" x14ac:dyDescent="0.2">
      <c r="A692" s="440" t="s">
        <v>87</v>
      </c>
      <c r="B692" s="642">
        <v>22</v>
      </c>
      <c r="C692" s="184">
        <v>0</v>
      </c>
      <c r="D692" s="184">
        <v>20</v>
      </c>
      <c r="E692" s="184">
        <v>0</v>
      </c>
      <c r="F692" s="184">
        <v>2</v>
      </c>
      <c r="G692" s="184">
        <v>0</v>
      </c>
      <c r="H692" s="184">
        <v>0</v>
      </c>
      <c r="I692" s="184">
        <v>0</v>
      </c>
      <c r="J692" s="184">
        <v>0</v>
      </c>
      <c r="K692" s="184">
        <v>0</v>
      </c>
      <c r="L692" s="184">
        <v>0</v>
      </c>
      <c r="M692" s="654" t="s">
        <v>24</v>
      </c>
      <c r="N692" s="588" t="s">
        <v>87</v>
      </c>
      <c r="O692" s="642">
        <v>0</v>
      </c>
      <c r="P692" s="184">
        <v>0</v>
      </c>
      <c r="Q692" s="184">
        <v>0</v>
      </c>
      <c r="R692" s="184">
        <v>0</v>
      </c>
      <c r="S692" s="184">
        <v>0</v>
      </c>
      <c r="T692" s="184">
        <v>0</v>
      </c>
      <c r="U692" s="184">
        <v>9</v>
      </c>
      <c r="V692" s="184">
        <v>9</v>
      </c>
      <c r="W692" s="184">
        <v>3</v>
      </c>
      <c r="X692" s="184">
        <v>1</v>
      </c>
      <c r="Y692" s="184">
        <v>0</v>
      </c>
      <c r="Z692" s="184">
        <v>0</v>
      </c>
      <c r="AA692" s="184">
        <v>0</v>
      </c>
      <c r="AB692" s="184">
        <v>0</v>
      </c>
      <c r="AC692" s="185">
        <v>41.8</v>
      </c>
      <c r="AD692" s="185">
        <v>46.8</v>
      </c>
      <c r="AE692" s="184">
        <v>0</v>
      </c>
      <c r="AF692" s="185">
        <v>0</v>
      </c>
      <c r="AG692" s="184">
        <v>0</v>
      </c>
      <c r="AH692" s="185">
        <v>0</v>
      </c>
      <c r="AI692" s="184">
        <v>0</v>
      </c>
      <c r="AJ692" s="643">
        <v>0</v>
      </c>
    </row>
    <row r="693" spans="1:36" x14ac:dyDescent="0.2">
      <c r="A693" s="440" t="s">
        <v>53</v>
      </c>
      <c r="B693" s="646">
        <v>12</v>
      </c>
      <c r="C693" s="186">
        <v>0</v>
      </c>
      <c r="D693" s="186">
        <v>11</v>
      </c>
      <c r="E693" s="186">
        <v>0</v>
      </c>
      <c r="F693" s="186">
        <v>1</v>
      </c>
      <c r="G693" s="186">
        <v>0</v>
      </c>
      <c r="H693" s="186">
        <v>0</v>
      </c>
      <c r="I693" s="186">
        <v>0</v>
      </c>
      <c r="J693" s="186">
        <v>0</v>
      </c>
      <c r="K693" s="186">
        <v>0</v>
      </c>
      <c r="L693" s="186">
        <v>0</v>
      </c>
      <c r="M693" s="656" t="s">
        <v>24</v>
      </c>
      <c r="N693" s="588" t="s">
        <v>53</v>
      </c>
      <c r="O693" s="646">
        <v>0</v>
      </c>
      <c r="P693" s="186">
        <v>0</v>
      </c>
      <c r="Q693" s="186">
        <v>0</v>
      </c>
      <c r="R693" s="186">
        <v>0</v>
      </c>
      <c r="S693" s="186">
        <v>0</v>
      </c>
      <c r="T693" s="186">
        <v>1</v>
      </c>
      <c r="U693" s="186">
        <v>4</v>
      </c>
      <c r="V693" s="186">
        <v>3</v>
      </c>
      <c r="W693" s="186">
        <v>3</v>
      </c>
      <c r="X693" s="186">
        <v>1</v>
      </c>
      <c r="Y693" s="186">
        <v>0</v>
      </c>
      <c r="Z693" s="186">
        <v>0</v>
      </c>
      <c r="AA693" s="186">
        <v>0</v>
      </c>
      <c r="AB693" s="186">
        <v>0</v>
      </c>
      <c r="AC693" s="187">
        <v>42.3</v>
      </c>
      <c r="AD693" s="187">
        <v>49.4</v>
      </c>
      <c r="AE693" s="186">
        <v>0</v>
      </c>
      <c r="AF693" s="187">
        <v>0</v>
      </c>
      <c r="AG693" s="186">
        <v>0</v>
      </c>
      <c r="AH693" s="187">
        <v>0</v>
      </c>
      <c r="AI693" s="186">
        <v>0</v>
      </c>
      <c r="AJ693" s="647">
        <v>0</v>
      </c>
    </row>
    <row r="694" spans="1:36" x14ac:dyDescent="0.2">
      <c r="A694" s="440" t="s">
        <v>88</v>
      </c>
      <c r="B694" s="642">
        <v>11</v>
      </c>
      <c r="C694" s="184">
        <v>0</v>
      </c>
      <c r="D694" s="184">
        <v>9</v>
      </c>
      <c r="E694" s="184">
        <v>0</v>
      </c>
      <c r="F694" s="184">
        <v>2</v>
      </c>
      <c r="G694" s="184">
        <v>0</v>
      </c>
      <c r="H694" s="184">
        <v>0</v>
      </c>
      <c r="I694" s="184">
        <v>0</v>
      </c>
      <c r="J694" s="184">
        <v>0</v>
      </c>
      <c r="K694" s="184">
        <v>0</v>
      </c>
      <c r="L694" s="184">
        <v>0</v>
      </c>
      <c r="M694" s="654" t="s">
        <v>24</v>
      </c>
      <c r="N694" s="588" t="s">
        <v>88</v>
      </c>
      <c r="O694" s="642">
        <v>0</v>
      </c>
      <c r="P694" s="184">
        <v>0</v>
      </c>
      <c r="Q694" s="184">
        <v>0</v>
      </c>
      <c r="R694" s="184">
        <v>0</v>
      </c>
      <c r="S694" s="184">
        <v>0</v>
      </c>
      <c r="T694" s="184">
        <v>0</v>
      </c>
      <c r="U694" s="184">
        <v>6</v>
      </c>
      <c r="V694" s="184">
        <v>3</v>
      </c>
      <c r="W694" s="184">
        <v>0</v>
      </c>
      <c r="X694" s="184">
        <v>2</v>
      </c>
      <c r="Y694" s="184">
        <v>0</v>
      </c>
      <c r="Z694" s="184">
        <v>0</v>
      </c>
      <c r="AA694" s="184">
        <v>0</v>
      </c>
      <c r="AB694" s="184">
        <v>0</v>
      </c>
      <c r="AC694" s="185">
        <v>41.6</v>
      </c>
      <c r="AD694" s="185">
        <v>50.5</v>
      </c>
      <c r="AE694" s="184">
        <v>0</v>
      </c>
      <c r="AF694" s="185">
        <v>0</v>
      </c>
      <c r="AG694" s="184">
        <v>0</v>
      </c>
      <c r="AH694" s="185">
        <v>0</v>
      </c>
      <c r="AI694" s="184">
        <v>0</v>
      </c>
      <c r="AJ694" s="643">
        <v>0</v>
      </c>
    </row>
    <row r="695" spans="1:36" x14ac:dyDescent="0.2">
      <c r="A695" s="440" t="s">
        <v>89</v>
      </c>
      <c r="B695" s="642">
        <v>11</v>
      </c>
      <c r="C695" s="184">
        <v>0</v>
      </c>
      <c r="D695" s="184">
        <v>10</v>
      </c>
      <c r="E695" s="184">
        <v>0</v>
      </c>
      <c r="F695" s="184">
        <v>1</v>
      </c>
      <c r="G695" s="184">
        <v>0</v>
      </c>
      <c r="H695" s="184">
        <v>0</v>
      </c>
      <c r="I695" s="184">
        <v>0</v>
      </c>
      <c r="J695" s="184">
        <v>0</v>
      </c>
      <c r="K695" s="184">
        <v>0</v>
      </c>
      <c r="L695" s="184">
        <v>0</v>
      </c>
      <c r="M695" s="654" t="s">
        <v>24</v>
      </c>
      <c r="N695" s="588" t="s">
        <v>89</v>
      </c>
      <c r="O695" s="642">
        <v>0</v>
      </c>
      <c r="P695" s="184">
        <v>0</v>
      </c>
      <c r="Q695" s="184">
        <v>0</v>
      </c>
      <c r="R695" s="184">
        <v>0</v>
      </c>
      <c r="S695" s="184">
        <v>0</v>
      </c>
      <c r="T695" s="184">
        <v>3</v>
      </c>
      <c r="U695" s="184">
        <v>5</v>
      </c>
      <c r="V695" s="184">
        <v>3</v>
      </c>
      <c r="W695" s="184">
        <v>0</v>
      </c>
      <c r="X695" s="184">
        <v>0</v>
      </c>
      <c r="Y695" s="184">
        <v>0</v>
      </c>
      <c r="Z695" s="184">
        <v>0</v>
      </c>
      <c r="AA695" s="184">
        <v>0</v>
      </c>
      <c r="AB695" s="184">
        <v>0</v>
      </c>
      <c r="AC695" s="185">
        <v>37</v>
      </c>
      <c r="AD695" s="185">
        <v>41</v>
      </c>
      <c r="AE695" s="184">
        <v>0</v>
      </c>
      <c r="AF695" s="185">
        <v>0</v>
      </c>
      <c r="AG695" s="184">
        <v>0</v>
      </c>
      <c r="AH695" s="185">
        <v>0</v>
      </c>
      <c r="AI695" s="184">
        <v>0</v>
      </c>
      <c r="AJ695" s="643">
        <v>0</v>
      </c>
    </row>
    <row r="696" spans="1:36" x14ac:dyDescent="0.2">
      <c r="A696" s="440" t="s">
        <v>90</v>
      </c>
      <c r="B696" s="642">
        <v>16</v>
      </c>
      <c r="C696" s="184">
        <v>0</v>
      </c>
      <c r="D696" s="184">
        <v>13</v>
      </c>
      <c r="E696" s="184">
        <v>0</v>
      </c>
      <c r="F696" s="184">
        <v>1</v>
      </c>
      <c r="G696" s="184">
        <v>0</v>
      </c>
      <c r="H696" s="184">
        <v>0</v>
      </c>
      <c r="I696" s="184">
        <v>2</v>
      </c>
      <c r="J696" s="184">
        <v>0</v>
      </c>
      <c r="K696" s="184">
        <v>0</v>
      </c>
      <c r="L696" s="184">
        <v>0</v>
      </c>
      <c r="M696" s="654" t="s">
        <v>24</v>
      </c>
      <c r="N696" s="588" t="s">
        <v>90</v>
      </c>
      <c r="O696" s="642">
        <v>0</v>
      </c>
      <c r="P696" s="184">
        <v>0</v>
      </c>
      <c r="Q696" s="184">
        <v>1</v>
      </c>
      <c r="R696" s="184">
        <v>0</v>
      </c>
      <c r="S696" s="184">
        <v>0</v>
      </c>
      <c r="T696" s="184">
        <v>5</v>
      </c>
      <c r="U696" s="184">
        <v>5</v>
      </c>
      <c r="V696" s="184">
        <v>4</v>
      </c>
      <c r="W696" s="184">
        <v>0</v>
      </c>
      <c r="X696" s="184">
        <v>1</v>
      </c>
      <c r="Y696" s="184">
        <v>0</v>
      </c>
      <c r="Z696" s="184">
        <v>0</v>
      </c>
      <c r="AA696" s="184">
        <v>0</v>
      </c>
      <c r="AB696" s="184">
        <v>0</v>
      </c>
      <c r="AC696" s="185">
        <v>36.9</v>
      </c>
      <c r="AD696" s="185">
        <v>44.2</v>
      </c>
      <c r="AE696" s="184">
        <v>0</v>
      </c>
      <c r="AF696" s="185">
        <v>0</v>
      </c>
      <c r="AG696" s="184">
        <v>0</v>
      </c>
      <c r="AH696" s="185">
        <v>0</v>
      </c>
      <c r="AI696" s="184">
        <v>0</v>
      </c>
      <c r="AJ696" s="643">
        <v>0</v>
      </c>
    </row>
    <row r="697" spans="1:36" x14ac:dyDescent="0.2">
      <c r="A697" s="440" t="s">
        <v>55</v>
      </c>
      <c r="B697" s="642">
        <v>11</v>
      </c>
      <c r="C697" s="184">
        <v>0</v>
      </c>
      <c r="D697" s="184">
        <v>10</v>
      </c>
      <c r="E697" s="184">
        <v>1</v>
      </c>
      <c r="F697" s="184">
        <v>0</v>
      </c>
      <c r="G697" s="184">
        <v>0</v>
      </c>
      <c r="H697" s="184">
        <v>0</v>
      </c>
      <c r="I697" s="184">
        <v>0</v>
      </c>
      <c r="J697" s="184">
        <v>0</v>
      </c>
      <c r="K697" s="184">
        <v>0</v>
      </c>
      <c r="L697" s="184">
        <v>0</v>
      </c>
      <c r="M697" s="654" t="s">
        <v>24</v>
      </c>
      <c r="N697" s="588" t="s">
        <v>55</v>
      </c>
      <c r="O697" s="642">
        <v>0</v>
      </c>
      <c r="P697" s="184">
        <v>0</v>
      </c>
      <c r="Q697" s="184">
        <v>0</v>
      </c>
      <c r="R697" s="184">
        <v>0</v>
      </c>
      <c r="S697" s="184">
        <v>0</v>
      </c>
      <c r="T697" s="184">
        <v>5</v>
      </c>
      <c r="U697" s="184">
        <v>3</v>
      </c>
      <c r="V697" s="184">
        <v>2</v>
      </c>
      <c r="W697" s="184">
        <v>1</v>
      </c>
      <c r="X697" s="184">
        <v>0</v>
      </c>
      <c r="Y697" s="184">
        <v>0</v>
      </c>
      <c r="Z697" s="184">
        <v>0</v>
      </c>
      <c r="AA697" s="184">
        <v>0</v>
      </c>
      <c r="AB697" s="184">
        <v>0</v>
      </c>
      <c r="AC697" s="185">
        <v>36.5</v>
      </c>
      <c r="AD697" s="185">
        <v>43.9</v>
      </c>
      <c r="AE697" s="184">
        <v>0</v>
      </c>
      <c r="AF697" s="185">
        <v>0</v>
      </c>
      <c r="AG697" s="184">
        <v>0</v>
      </c>
      <c r="AH697" s="185">
        <v>0</v>
      </c>
      <c r="AI697" s="184">
        <v>0</v>
      </c>
      <c r="AJ697" s="643">
        <v>0</v>
      </c>
    </row>
    <row r="698" spans="1:36" x14ac:dyDescent="0.2">
      <c r="A698" s="440" t="s">
        <v>91</v>
      </c>
      <c r="B698" s="642">
        <v>12</v>
      </c>
      <c r="C698" s="184">
        <v>0</v>
      </c>
      <c r="D698" s="184">
        <v>11</v>
      </c>
      <c r="E698" s="184">
        <v>0</v>
      </c>
      <c r="F698" s="184">
        <v>1</v>
      </c>
      <c r="G698" s="184">
        <v>0</v>
      </c>
      <c r="H698" s="184">
        <v>0</v>
      </c>
      <c r="I698" s="184">
        <v>0</v>
      </c>
      <c r="J698" s="184">
        <v>0</v>
      </c>
      <c r="K698" s="184">
        <v>0</v>
      </c>
      <c r="L698" s="184">
        <v>0</v>
      </c>
      <c r="M698" s="654" t="s">
        <v>24</v>
      </c>
      <c r="N698" s="588" t="s">
        <v>91</v>
      </c>
      <c r="O698" s="642">
        <v>0</v>
      </c>
      <c r="P698" s="184">
        <v>0</v>
      </c>
      <c r="Q698" s="184">
        <v>0</v>
      </c>
      <c r="R698" s="184">
        <v>1</v>
      </c>
      <c r="S698" s="184">
        <v>1</v>
      </c>
      <c r="T698" s="184">
        <v>3</v>
      </c>
      <c r="U698" s="184">
        <v>1</v>
      </c>
      <c r="V698" s="184">
        <v>4</v>
      </c>
      <c r="W698" s="184">
        <v>2</v>
      </c>
      <c r="X698" s="184">
        <v>0</v>
      </c>
      <c r="Y698" s="184">
        <v>0</v>
      </c>
      <c r="Z698" s="184">
        <v>0</v>
      </c>
      <c r="AA698" s="184">
        <v>0</v>
      </c>
      <c r="AB698" s="184">
        <v>0</v>
      </c>
      <c r="AC698" s="185">
        <v>37.700000000000003</v>
      </c>
      <c r="AD698" s="185">
        <v>47.5</v>
      </c>
      <c r="AE698" s="184">
        <v>0</v>
      </c>
      <c r="AF698" s="185">
        <v>0</v>
      </c>
      <c r="AG698" s="184">
        <v>0</v>
      </c>
      <c r="AH698" s="185">
        <v>0</v>
      </c>
      <c r="AI698" s="184">
        <v>0</v>
      </c>
      <c r="AJ698" s="643">
        <v>0</v>
      </c>
    </row>
    <row r="699" spans="1:36" x14ac:dyDescent="0.2">
      <c r="A699" s="440" t="s">
        <v>92</v>
      </c>
      <c r="B699" s="642">
        <v>7</v>
      </c>
      <c r="C699" s="184">
        <v>0</v>
      </c>
      <c r="D699" s="184">
        <v>5</v>
      </c>
      <c r="E699" s="184">
        <v>1</v>
      </c>
      <c r="F699" s="184">
        <v>1</v>
      </c>
      <c r="G699" s="184">
        <v>0</v>
      </c>
      <c r="H699" s="184">
        <v>0</v>
      </c>
      <c r="I699" s="184">
        <v>0</v>
      </c>
      <c r="J699" s="184">
        <v>0</v>
      </c>
      <c r="K699" s="184">
        <v>0</v>
      </c>
      <c r="L699" s="184">
        <v>0</v>
      </c>
      <c r="M699" s="654" t="s">
        <v>24</v>
      </c>
      <c r="N699" s="588" t="s">
        <v>92</v>
      </c>
      <c r="O699" s="642">
        <v>0</v>
      </c>
      <c r="P699" s="184">
        <v>0</v>
      </c>
      <c r="Q699" s="184">
        <v>0</v>
      </c>
      <c r="R699" s="184">
        <v>0</v>
      </c>
      <c r="S699" s="184">
        <v>0</v>
      </c>
      <c r="T699" s="184">
        <v>1</v>
      </c>
      <c r="U699" s="184">
        <v>5</v>
      </c>
      <c r="V699" s="184">
        <v>1</v>
      </c>
      <c r="W699" s="184">
        <v>0</v>
      </c>
      <c r="X699" s="184">
        <v>0</v>
      </c>
      <c r="Y699" s="184">
        <v>0</v>
      </c>
      <c r="Z699" s="184">
        <v>0</v>
      </c>
      <c r="AA699" s="184">
        <v>0</v>
      </c>
      <c r="AB699" s="184">
        <v>0</v>
      </c>
      <c r="AC699" s="185">
        <v>37.200000000000003</v>
      </c>
      <c r="AD699" s="185" t="s">
        <v>24</v>
      </c>
      <c r="AE699" s="184">
        <v>0</v>
      </c>
      <c r="AF699" s="185">
        <v>0</v>
      </c>
      <c r="AG699" s="184">
        <v>0</v>
      </c>
      <c r="AH699" s="185">
        <v>0</v>
      </c>
      <c r="AI699" s="184">
        <v>0</v>
      </c>
      <c r="AJ699" s="643">
        <v>0</v>
      </c>
    </row>
    <row r="700" spans="1:36" x14ac:dyDescent="0.2">
      <c r="A700" s="440" t="s">
        <v>93</v>
      </c>
      <c r="B700" s="642">
        <v>10</v>
      </c>
      <c r="C700" s="184">
        <v>0</v>
      </c>
      <c r="D700" s="184">
        <v>5</v>
      </c>
      <c r="E700" s="184">
        <v>0</v>
      </c>
      <c r="F700" s="184">
        <v>5</v>
      </c>
      <c r="G700" s="184">
        <v>0</v>
      </c>
      <c r="H700" s="184">
        <v>0</v>
      </c>
      <c r="I700" s="184">
        <v>0</v>
      </c>
      <c r="J700" s="184">
        <v>0</v>
      </c>
      <c r="K700" s="184">
        <v>0</v>
      </c>
      <c r="L700" s="184">
        <v>0</v>
      </c>
      <c r="M700" s="654" t="s">
        <v>24</v>
      </c>
      <c r="N700" s="588" t="s">
        <v>93</v>
      </c>
      <c r="O700" s="642">
        <v>0</v>
      </c>
      <c r="P700" s="184">
        <v>0</v>
      </c>
      <c r="Q700" s="184">
        <v>0</v>
      </c>
      <c r="R700" s="184">
        <v>0</v>
      </c>
      <c r="S700" s="184">
        <v>1</v>
      </c>
      <c r="T700" s="184">
        <v>2</v>
      </c>
      <c r="U700" s="184">
        <v>5</v>
      </c>
      <c r="V700" s="184">
        <v>0</v>
      </c>
      <c r="W700" s="184">
        <v>2</v>
      </c>
      <c r="X700" s="184">
        <v>0</v>
      </c>
      <c r="Y700" s="184">
        <v>0</v>
      </c>
      <c r="Z700" s="184">
        <v>0</v>
      </c>
      <c r="AA700" s="184">
        <v>0</v>
      </c>
      <c r="AB700" s="184">
        <v>0</v>
      </c>
      <c r="AC700" s="185">
        <v>37.1</v>
      </c>
      <c r="AD700" s="185" t="s">
        <v>24</v>
      </c>
      <c r="AE700" s="184">
        <v>0</v>
      </c>
      <c r="AF700" s="185">
        <v>0</v>
      </c>
      <c r="AG700" s="184">
        <v>0</v>
      </c>
      <c r="AH700" s="185">
        <v>0</v>
      </c>
      <c r="AI700" s="184">
        <v>0</v>
      </c>
      <c r="AJ700" s="643">
        <v>0</v>
      </c>
    </row>
    <row r="701" spans="1:36" x14ac:dyDescent="0.2">
      <c r="A701" s="440" t="s">
        <v>57</v>
      </c>
      <c r="B701" s="642">
        <v>11</v>
      </c>
      <c r="C701" s="184">
        <v>0</v>
      </c>
      <c r="D701" s="184">
        <v>10</v>
      </c>
      <c r="E701" s="184">
        <v>0</v>
      </c>
      <c r="F701" s="184">
        <v>1</v>
      </c>
      <c r="G701" s="184">
        <v>0</v>
      </c>
      <c r="H701" s="184">
        <v>0</v>
      </c>
      <c r="I701" s="184">
        <v>0</v>
      </c>
      <c r="J701" s="184">
        <v>0</v>
      </c>
      <c r="K701" s="184">
        <v>0</v>
      </c>
      <c r="L701" s="184">
        <v>0</v>
      </c>
      <c r="M701" s="654" t="s">
        <v>24</v>
      </c>
      <c r="N701" s="588" t="s">
        <v>57</v>
      </c>
      <c r="O701" s="642">
        <v>0</v>
      </c>
      <c r="P701" s="184">
        <v>0</v>
      </c>
      <c r="Q701" s="184">
        <v>0</v>
      </c>
      <c r="R701" s="184">
        <v>0</v>
      </c>
      <c r="S701" s="184">
        <v>2</v>
      </c>
      <c r="T701" s="184">
        <v>0</v>
      </c>
      <c r="U701" s="184">
        <v>3</v>
      </c>
      <c r="V701" s="184">
        <v>3</v>
      </c>
      <c r="W701" s="184">
        <v>1</v>
      </c>
      <c r="X701" s="184">
        <v>2</v>
      </c>
      <c r="Y701" s="184">
        <v>0</v>
      </c>
      <c r="Z701" s="184">
        <v>0</v>
      </c>
      <c r="AA701" s="184">
        <v>0</v>
      </c>
      <c r="AB701" s="184">
        <v>0</v>
      </c>
      <c r="AC701" s="185">
        <v>40.6</v>
      </c>
      <c r="AD701" s="185">
        <v>52.8</v>
      </c>
      <c r="AE701" s="184">
        <v>0</v>
      </c>
      <c r="AF701" s="185">
        <v>0</v>
      </c>
      <c r="AG701" s="184">
        <v>0</v>
      </c>
      <c r="AH701" s="185">
        <v>0</v>
      </c>
      <c r="AI701" s="184">
        <v>0</v>
      </c>
      <c r="AJ701" s="643">
        <v>0</v>
      </c>
    </row>
    <row r="702" spans="1:36" x14ac:dyDescent="0.2">
      <c r="A702" s="440" t="s">
        <v>94</v>
      </c>
      <c r="B702" s="642">
        <v>12</v>
      </c>
      <c r="C702" s="184">
        <v>2</v>
      </c>
      <c r="D702" s="184">
        <v>9</v>
      </c>
      <c r="E702" s="184">
        <v>0</v>
      </c>
      <c r="F702" s="184">
        <v>1</v>
      </c>
      <c r="G702" s="184">
        <v>0</v>
      </c>
      <c r="H702" s="184">
        <v>0</v>
      </c>
      <c r="I702" s="184">
        <v>0</v>
      </c>
      <c r="J702" s="184">
        <v>0</v>
      </c>
      <c r="K702" s="184">
        <v>0</v>
      </c>
      <c r="L702" s="184">
        <v>0</v>
      </c>
      <c r="M702" s="654" t="s">
        <v>24</v>
      </c>
      <c r="N702" s="588" t="s">
        <v>94</v>
      </c>
      <c r="O702" s="642">
        <v>1</v>
      </c>
      <c r="P702" s="184">
        <v>1</v>
      </c>
      <c r="Q702" s="184">
        <v>0</v>
      </c>
      <c r="R702" s="184">
        <v>0</v>
      </c>
      <c r="S702" s="184">
        <v>0</v>
      </c>
      <c r="T702" s="184">
        <v>4</v>
      </c>
      <c r="U702" s="184">
        <v>4</v>
      </c>
      <c r="V702" s="184">
        <v>2</v>
      </c>
      <c r="W702" s="184">
        <v>0</v>
      </c>
      <c r="X702" s="184">
        <v>0</v>
      </c>
      <c r="Y702" s="184">
        <v>0</v>
      </c>
      <c r="Z702" s="184">
        <v>0</v>
      </c>
      <c r="AA702" s="184">
        <v>0</v>
      </c>
      <c r="AB702" s="184">
        <v>0</v>
      </c>
      <c r="AC702" s="185">
        <v>32.6</v>
      </c>
      <c r="AD702" s="185">
        <v>44.1</v>
      </c>
      <c r="AE702" s="184">
        <v>0</v>
      </c>
      <c r="AF702" s="185">
        <v>0</v>
      </c>
      <c r="AG702" s="184">
        <v>0</v>
      </c>
      <c r="AH702" s="185">
        <v>0</v>
      </c>
      <c r="AI702" s="184">
        <v>0</v>
      </c>
      <c r="AJ702" s="643">
        <v>0</v>
      </c>
    </row>
    <row r="703" spans="1:36" x14ac:dyDescent="0.2">
      <c r="A703" s="440" t="s">
        <v>95</v>
      </c>
      <c r="B703" s="642">
        <v>12</v>
      </c>
      <c r="C703" s="184">
        <v>1</v>
      </c>
      <c r="D703" s="184">
        <v>10</v>
      </c>
      <c r="E703" s="184">
        <v>0</v>
      </c>
      <c r="F703" s="184">
        <v>1</v>
      </c>
      <c r="G703" s="184">
        <v>0</v>
      </c>
      <c r="H703" s="184">
        <v>0</v>
      </c>
      <c r="I703" s="184">
        <v>0</v>
      </c>
      <c r="J703" s="184">
        <v>0</v>
      </c>
      <c r="K703" s="184">
        <v>0</v>
      </c>
      <c r="L703" s="184">
        <v>0</v>
      </c>
      <c r="M703" s="654" t="s">
        <v>24</v>
      </c>
      <c r="N703" s="588" t="s">
        <v>95</v>
      </c>
      <c r="O703" s="642">
        <v>1</v>
      </c>
      <c r="P703" s="184">
        <v>0</v>
      </c>
      <c r="Q703" s="184">
        <v>0</v>
      </c>
      <c r="R703" s="184">
        <v>1</v>
      </c>
      <c r="S703" s="184">
        <v>0</v>
      </c>
      <c r="T703" s="184">
        <v>0</v>
      </c>
      <c r="U703" s="184">
        <v>4</v>
      </c>
      <c r="V703" s="184">
        <v>4</v>
      </c>
      <c r="W703" s="184">
        <v>2</v>
      </c>
      <c r="X703" s="184">
        <v>0</v>
      </c>
      <c r="Y703" s="184">
        <v>0</v>
      </c>
      <c r="Z703" s="184">
        <v>0</v>
      </c>
      <c r="AA703" s="184">
        <v>0</v>
      </c>
      <c r="AB703" s="184">
        <v>0</v>
      </c>
      <c r="AC703" s="185">
        <v>37.1</v>
      </c>
      <c r="AD703" s="185">
        <v>47.3</v>
      </c>
      <c r="AE703" s="184">
        <v>0</v>
      </c>
      <c r="AF703" s="185">
        <v>0</v>
      </c>
      <c r="AG703" s="184">
        <v>0</v>
      </c>
      <c r="AH703" s="185">
        <v>0</v>
      </c>
      <c r="AI703" s="184">
        <v>0</v>
      </c>
      <c r="AJ703" s="643">
        <v>0</v>
      </c>
    </row>
    <row r="704" spans="1:36" x14ac:dyDescent="0.2">
      <c r="A704" s="440" t="s">
        <v>96</v>
      </c>
      <c r="B704" s="642">
        <v>6</v>
      </c>
      <c r="C704" s="184">
        <v>0</v>
      </c>
      <c r="D704" s="184">
        <v>4</v>
      </c>
      <c r="E704" s="184">
        <v>0</v>
      </c>
      <c r="F704" s="184">
        <v>1</v>
      </c>
      <c r="G704" s="184">
        <v>1</v>
      </c>
      <c r="H704" s="184">
        <v>0</v>
      </c>
      <c r="I704" s="184">
        <v>0</v>
      </c>
      <c r="J704" s="184">
        <v>0</v>
      </c>
      <c r="K704" s="184">
        <v>0</v>
      </c>
      <c r="L704" s="184">
        <v>0</v>
      </c>
      <c r="M704" s="654" t="s">
        <v>24</v>
      </c>
      <c r="N704" s="588" t="s">
        <v>96</v>
      </c>
      <c r="O704" s="642">
        <v>0</v>
      </c>
      <c r="P704" s="184">
        <v>0</v>
      </c>
      <c r="Q704" s="184">
        <v>0</v>
      </c>
      <c r="R704" s="184">
        <v>2</v>
      </c>
      <c r="S704" s="184">
        <v>0</v>
      </c>
      <c r="T704" s="184">
        <v>1</v>
      </c>
      <c r="U704" s="184">
        <v>2</v>
      </c>
      <c r="V704" s="184">
        <v>0</v>
      </c>
      <c r="W704" s="184">
        <v>1</v>
      </c>
      <c r="X704" s="184">
        <v>0</v>
      </c>
      <c r="Y704" s="184">
        <v>0</v>
      </c>
      <c r="Z704" s="184">
        <v>0</v>
      </c>
      <c r="AA704" s="184">
        <v>0</v>
      </c>
      <c r="AB704" s="184">
        <v>0</v>
      </c>
      <c r="AC704" s="185">
        <v>33.6</v>
      </c>
      <c r="AD704" s="185" t="s">
        <v>24</v>
      </c>
      <c r="AE704" s="184">
        <v>0</v>
      </c>
      <c r="AF704" s="185">
        <v>0</v>
      </c>
      <c r="AG704" s="184">
        <v>0</v>
      </c>
      <c r="AH704" s="185">
        <v>0</v>
      </c>
      <c r="AI704" s="184">
        <v>0</v>
      </c>
      <c r="AJ704" s="643">
        <v>0</v>
      </c>
    </row>
    <row r="705" spans="1:36" x14ac:dyDescent="0.2">
      <c r="A705" s="440" t="s">
        <v>58</v>
      </c>
      <c r="B705" s="642">
        <v>10</v>
      </c>
      <c r="C705" s="184">
        <v>0</v>
      </c>
      <c r="D705" s="184">
        <v>9</v>
      </c>
      <c r="E705" s="184">
        <v>0</v>
      </c>
      <c r="F705" s="184">
        <v>1</v>
      </c>
      <c r="G705" s="184">
        <v>0</v>
      </c>
      <c r="H705" s="184">
        <v>0</v>
      </c>
      <c r="I705" s="184">
        <v>0</v>
      </c>
      <c r="J705" s="184">
        <v>0</v>
      </c>
      <c r="K705" s="184">
        <v>0</v>
      </c>
      <c r="L705" s="184">
        <v>0</v>
      </c>
      <c r="M705" s="654" t="s">
        <v>24</v>
      </c>
      <c r="N705" s="588" t="s">
        <v>58</v>
      </c>
      <c r="O705" s="642">
        <v>0</v>
      </c>
      <c r="P705" s="184">
        <v>0</v>
      </c>
      <c r="Q705" s="184">
        <v>1</v>
      </c>
      <c r="R705" s="184">
        <v>0</v>
      </c>
      <c r="S705" s="184">
        <v>0</v>
      </c>
      <c r="T705" s="184">
        <v>1</v>
      </c>
      <c r="U705" s="184">
        <v>1</v>
      </c>
      <c r="V705" s="184">
        <v>4</v>
      </c>
      <c r="W705" s="184">
        <v>3</v>
      </c>
      <c r="X705" s="184">
        <v>0</v>
      </c>
      <c r="Y705" s="184">
        <v>0</v>
      </c>
      <c r="Z705" s="184">
        <v>0</v>
      </c>
      <c r="AA705" s="184">
        <v>0</v>
      </c>
      <c r="AB705" s="184">
        <v>0</v>
      </c>
      <c r="AC705" s="185">
        <v>40</v>
      </c>
      <c r="AD705" s="185" t="s">
        <v>24</v>
      </c>
      <c r="AE705" s="184">
        <v>0</v>
      </c>
      <c r="AF705" s="185">
        <v>0</v>
      </c>
      <c r="AG705" s="184">
        <v>0</v>
      </c>
      <c r="AH705" s="185">
        <v>0</v>
      </c>
      <c r="AI705" s="184">
        <v>0</v>
      </c>
      <c r="AJ705" s="643">
        <v>0</v>
      </c>
    </row>
    <row r="706" spans="1:36" x14ac:dyDescent="0.2">
      <c r="A706" s="440" t="s">
        <v>97</v>
      </c>
      <c r="B706" s="642">
        <v>8</v>
      </c>
      <c r="C706" s="184">
        <v>0</v>
      </c>
      <c r="D706" s="184">
        <v>8</v>
      </c>
      <c r="E706" s="184">
        <v>0</v>
      </c>
      <c r="F706" s="184">
        <v>0</v>
      </c>
      <c r="G706" s="184">
        <v>0</v>
      </c>
      <c r="H706" s="184">
        <v>0</v>
      </c>
      <c r="I706" s="184">
        <v>0</v>
      </c>
      <c r="J706" s="184">
        <v>0</v>
      </c>
      <c r="K706" s="184">
        <v>0</v>
      </c>
      <c r="L706" s="184">
        <v>0</v>
      </c>
      <c r="M706" s="654" t="s">
        <v>24</v>
      </c>
      <c r="N706" s="588" t="s">
        <v>97</v>
      </c>
      <c r="O706" s="642">
        <v>0</v>
      </c>
      <c r="P706" s="184">
        <v>0</v>
      </c>
      <c r="Q706" s="184">
        <v>0</v>
      </c>
      <c r="R706" s="184">
        <v>0</v>
      </c>
      <c r="S706" s="184">
        <v>3</v>
      </c>
      <c r="T706" s="184">
        <v>1</v>
      </c>
      <c r="U706" s="184">
        <v>0</v>
      </c>
      <c r="V706" s="184">
        <v>2</v>
      </c>
      <c r="W706" s="184">
        <v>2</v>
      </c>
      <c r="X706" s="184">
        <v>0</v>
      </c>
      <c r="Y706" s="184">
        <v>0</v>
      </c>
      <c r="Z706" s="184">
        <v>0</v>
      </c>
      <c r="AA706" s="184">
        <v>0</v>
      </c>
      <c r="AB706" s="184">
        <v>0</v>
      </c>
      <c r="AC706" s="185">
        <v>38</v>
      </c>
      <c r="AD706" s="185" t="s">
        <v>24</v>
      </c>
      <c r="AE706" s="184">
        <v>0</v>
      </c>
      <c r="AF706" s="185">
        <v>0</v>
      </c>
      <c r="AG706" s="184">
        <v>0</v>
      </c>
      <c r="AH706" s="185">
        <v>0</v>
      </c>
      <c r="AI706" s="184">
        <v>0</v>
      </c>
      <c r="AJ706" s="643">
        <v>0</v>
      </c>
    </row>
    <row r="707" spans="1:36" x14ac:dyDescent="0.2">
      <c r="A707" s="440" t="s">
        <v>98</v>
      </c>
      <c r="B707" s="642">
        <v>4</v>
      </c>
      <c r="C707" s="184">
        <v>0</v>
      </c>
      <c r="D707" s="184">
        <v>4</v>
      </c>
      <c r="E707" s="184">
        <v>0</v>
      </c>
      <c r="F707" s="184">
        <v>0</v>
      </c>
      <c r="G707" s="184">
        <v>0</v>
      </c>
      <c r="H707" s="184">
        <v>0</v>
      </c>
      <c r="I707" s="184">
        <v>0</v>
      </c>
      <c r="J707" s="184">
        <v>0</v>
      </c>
      <c r="K707" s="184">
        <v>0</v>
      </c>
      <c r="L707" s="184">
        <v>0</v>
      </c>
      <c r="M707" s="654" t="s">
        <v>24</v>
      </c>
      <c r="N707" s="588" t="s">
        <v>98</v>
      </c>
      <c r="O707" s="642">
        <v>0</v>
      </c>
      <c r="P707" s="184">
        <v>0</v>
      </c>
      <c r="Q707" s="184">
        <v>0</v>
      </c>
      <c r="R707" s="184">
        <v>0</v>
      </c>
      <c r="S707" s="184">
        <v>0</v>
      </c>
      <c r="T707" s="184">
        <v>2</v>
      </c>
      <c r="U707" s="184">
        <v>0</v>
      </c>
      <c r="V707" s="184">
        <v>1</v>
      </c>
      <c r="W707" s="184">
        <v>0</v>
      </c>
      <c r="X707" s="184">
        <v>1</v>
      </c>
      <c r="Y707" s="184">
        <v>0</v>
      </c>
      <c r="Z707" s="184">
        <v>0</v>
      </c>
      <c r="AA707" s="184">
        <v>0</v>
      </c>
      <c r="AB707" s="184">
        <v>0</v>
      </c>
      <c r="AC707" s="185">
        <v>40.799999999999997</v>
      </c>
      <c r="AD707" s="185" t="s">
        <v>24</v>
      </c>
      <c r="AE707" s="184">
        <v>0</v>
      </c>
      <c r="AF707" s="185">
        <v>0</v>
      </c>
      <c r="AG707" s="184">
        <v>0</v>
      </c>
      <c r="AH707" s="185">
        <v>0</v>
      </c>
      <c r="AI707" s="184">
        <v>0</v>
      </c>
      <c r="AJ707" s="643">
        <v>0</v>
      </c>
    </row>
    <row r="708" spans="1:36" x14ac:dyDescent="0.2">
      <c r="A708" s="440" t="s">
        <v>99</v>
      </c>
      <c r="B708" s="642">
        <v>9</v>
      </c>
      <c r="C708" s="184">
        <v>1</v>
      </c>
      <c r="D708" s="184">
        <v>8</v>
      </c>
      <c r="E708" s="184">
        <v>0</v>
      </c>
      <c r="F708" s="184">
        <v>0</v>
      </c>
      <c r="G708" s="184">
        <v>0</v>
      </c>
      <c r="H708" s="184">
        <v>0</v>
      </c>
      <c r="I708" s="184">
        <v>0</v>
      </c>
      <c r="J708" s="184">
        <v>0</v>
      </c>
      <c r="K708" s="184">
        <v>0</v>
      </c>
      <c r="L708" s="184">
        <v>0</v>
      </c>
      <c r="M708" s="654" t="s">
        <v>24</v>
      </c>
      <c r="N708" s="588" t="s">
        <v>99</v>
      </c>
      <c r="O708" s="642">
        <v>1</v>
      </c>
      <c r="P708" s="184">
        <v>0</v>
      </c>
      <c r="Q708" s="184">
        <v>0</v>
      </c>
      <c r="R708" s="184">
        <v>0</v>
      </c>
      <c r="S708" s="184">
        <v>0</v>
      </c>
      <c r="T708" s="184">
        <v>1</v>
      </c>
      <c r="U708" s="184">
        <v>2</v>
      </c>
      <c r="V708" s="184">
        <v>2</v>
      </c>
      <c r="W708" s="184">
        <v>2</v>
      </c>
      <c r="X708" s="184">
        <v>1</v>
      </c>
      <c r="Y708" s="184">
        <v>0</v>
      </c>
      <c r="Z708" s="184">
        <v>0</v>
      </c>
      <c r="AA708" s="184">
        <v>0</v>
      </c>
      <c r="AB708" s="184">
        <v>0</v>
      </c>
      <c r="AC708" s="185">
        <v>38</v>
      </c>
      <c r="AD708" s="185" t="s">
        <v>24</v>
      </c>
      <c r="AE708" s="184">
        <v>0</v>
      </c>
      <c r="AF708" s="185">
        <v>0</v>
      </c>
      <c r="AG708" s="184">
        <v>0</v>
      </c>
      <c r="AH708" s="185">
        <v>0</v>
      </c>
      <c r="AI708" s="184">
        <v>0</v>
      </c>
      <c r="AJ708" s="643">
        <v>0</v>
      </c>
    </row>
    <row r="709" spans="1:36" x14ac:dyDescent="0.2">
      <c r="A709" s="440" t="s">
        <v>60</v>
      </c>
      <c r="B709" s="642">
        <v>5</v>
      </c>
      <c r="C709" s="184">
        <v>0</v>
      </c>
      <c r="D709" s="184">
        <v>5</v>
      </c>
      <c r="E709" s="184">
        <v>0</v>
      </c>
      <c r="F709" s="184">
        <v>0</v>
      </c>
      <c r="G709" s="184">
        <v>0</v>
      </c>
      <c r="H709" s="184">
        <v>0</v>
      </c>
      <c r="I709" s="184">
        <v>0</v>
      </c>
      <c r="J709" s="184">
        <v>0</v>
      </c>
      <c r="K709" s="184">
        <v>0</v>
      </c>
      <c r="L709" s="184">
        <v>0</v>
      </c>
      <c r="M709" s="654" t="s">
        <v>24</v>
      </c>
      <c r="N709" s="588" t="s">
        <v>60</v>
      </c>
      <c r="O709" s="642">
        <v>0</v>
      </c>
      <c r="P709" s="184">
        <v>0</v>
      </c>
      <c r="Q709" s="184">
        <v>0</v>
      </c>
      <c r="R709" s="184">
        <v>0</v>
      </c>
      <c r="S709" s="184">
        <v>0</v>
      </c>
      <c r="T709" s="184">
        <v>0</v>
      </c>
      <c r="U709" s="184">
        <v>3</v>
      </c>
      <c r="V709" s="184">
        <v>0</v>
      </c>
      <c r="W709" s="184">
        <v>2</v>
      </c>
      <c r="X709" s="184">
        <v>0</v>
      </c>
      <c r="Y709" s="184">
        <v>0</v>
      </c>
      <c r="Z709" s="184">
        <v>0</v>
      </c>
      <c r="AA709" s="184">
        <v>0</v>
      </c>
      <c r="AB709" s="184">
        <v>0</v>
      </c>
      <c r="AC709" s="185">
        <v>40.9</v>
      </c>
      <c r="AD709" s="185" t="s">
        <v>24</v>
      </c>
      <c r="AE709" s="184">
        <v>0</v>
      </c>
      <c r="AF709" s="185">
        <v>0</v>
      </c>
      <c r="AG709" s="184">
        <v>0</v>
      </c>
      <c r="AH709" s="185">
        <v>0</v>
      </c>
      <c r="AI709" s="184">
        <v>0</v>
      </c>
      <c r="AJ709" s="643">
        <v>0</v>
      </c>
    </row>
    <row r="710" spans="1:36" x14ac:dyDescent="0.2">
      <c r="A710" s="440" t="s">
        <v>100</v>
      </c>
      <c r="B710" s="642">
        <v>7</v>
      </c>
      <c r="C710" s="184">
        <v>0</v>
      </c>
      <c r="D710" s="184">
        <v>7</v>
      </c>
      <c r="E710" s="184">
        <v>0</v>
      </c>
      <c r="F710" s="184">
        <v>0</v>
      </c>
      <c r="G710" s="184">
        <v>0</v>
      </c>
      <c r="H710" s="184">
        <v>0</v>
      </c>
      <c r="I710" s="184">
        <v>0</v>
      </c>
      <c r="J710" s="184">
        <v>0</v>
      </c>
      <c r="K710" s="184">
        <v>0</v>
      </c>
      <c r="L710" s="184">
        <v>0</v>
      </c>
      <c r="M710" s="654" t="s">
        <v>24</v>
      </c>
      <c r="N710" s="588" t="s">
        <v>100</v>
      </c>
      <c r="O710" s="642">
        <v>0</v>
      </c>
      <c r="P710" s="184">
        <v>0</v>
      </c>
      <c r="Q710" s="184">
        <v>0</v>
      </c>
      <c r="R710" s="184">
        <v>0</v>
      </c>
      <c r="S710" s="184">
        <v>0</v>
      </c>
      <c r="T710" s="184">
        <v>0</v>
      </c>
      <c r="U710" s="184">
        <v>2</v>
      </c>
      <c r="V710" s="184">
        <v>3</v>
      </c>
      <c r="W710" s="184">
        <v>2</v>
      </c>
      <c r="X710" s="184">
        <v>0</v>
      </c>
      <c r="Y710" s="184">
        <v>0</v>
      </c>
      <c r="Z710" s="184">
        <v>0</v>
      </c>
      <c r="AA710" s="184">
        <v>0</v>
      </c>
      <c r="AB710" s="184">
        <v>0</v>
      </c>
      <c r="AC710" s="185">
        <v>41.6</v>
      </c>
      <c r="AD710" s="185" t="s">
        <v>24</v>
      </c>
      <c r="AE710" s="184">
        <v>0</v>
      </c>
      <c r="AF710" s="185">
        <v>0</v>
      </c>
      <c r="AG710" s="184">
        <v>0</v>
      </c>
      <c r="AH710" s="185">
        <v>0</v>
      </c>
      <c r="AI710" s="184">
        <v>0</v>
      </c>
      <c r="AJ710" s="643">
        <v>0</v>
      </c>
    </row>
    <row r="711" spans="1:36" x14ac:dyDescent="0.2">
      <c r="A711" s="440" t="s">
        <v>101</v>
      </c>
      <c r="B711" s="642">
        <v>9</v>
      </c>
      <c r="C711" s="184">
        <v>1</v>
      </c>
      <c r="D711" s="184">
        <v>8</v>
      </c>
      <c r="E711" s="184">
        <v>0</v>
      </c>
      <c r="F711" s="184">
        <v>0</v>
      </c>
      <c r="G711" s="184">
        <v>0</v>
      </c>
      <c r="H711" s="184">
        <v>0</v>
      </c>
      <c r="I711" s="184">
        <v>0</v>
      </c>
      <c r="J711" s="184">
        <v>0</v>
      </c>
      <c r="K711" s="184">
        <v>0</v>
      </c>
      <c r="L711" s="184">
        <v>0</v>
      </c>
      <c r="M711" s="654" t="s">
        <v>24</v>
      </c>
      <c r="N711" s="588" t="s">
        <v>101</v>
      </c>
      <c r="O711" s="642">
        <v>0</v>
      </c>
      <c r="P711" s="184">
        <v>0</v>
      </c>
      <c r="Q711" s="184">
        <v>0</v>
      </c>
      <c r="R711" s="184">
        <v>0</v>
      </c>
      <c r="S711" s="184">
        <v>1</v>
      </c>
      <c r="T711" s="184">
        <v>2</v>
      </c>
      <c r="U711" s="184">
        <v>1</v>
      </c>
      <c r="V711" s="184">
        <v>3</v>
      </c>
      <c r="W711" s="184">
        <v>2</v>
      </c>
      <c r="X711" s="184">
        <v>0</v>
      </c>
      <c r="Y711" s="184">
        <v>0</v>
      </c>
      <c r="Z711" s="184">
        <v>0</v>
      </c>
      <c r="AA711" s="184">
        <v>0</v>
      </c>
      <c r="AB711" s="184">
        <v>0</v>
      </c>
      <c r="AC711" s="185">
        <v>38.700000000000003</v>
      </c>
      <c r="AD711" s="185" t="s">
        <v>24</v>
      </c>
      <c r="AE711" s="184">
        <v>0</v>
      </c>
      <c r="AF711" s="185">
        <v>0</v>
      </c>
      <c r="AG711" s="184">
        <v>0</v>
      </c>
      <c r="AH711" s="185">
        <v>0</v>
      </c>
      <c r="AI711" s="184">
        <v>0</v>
      </c>
      <c r="AJ711" s="643">
        <v>0</v>
      </c>
    </row>
    <row r="712" spans="1:36" x14ac:dyDescent="0.2">
      <c r="A712" s="440" t="s">
        <v>102</v>
      </c>
      <c r="B712" s="642">
        <v>9</v>
      </c>
      <c r="C712" s="184">
        <v>0</v>
      </c>
      <c r="D712" s="184">
        <v>5</v>
      </c>
      <c r="E712" s="184">
        <v>0</v>
      </c>
      <c r="F712" s="184">
        <v>4</v>
      </c>
      <c r="G712" s="184">
        <v>0</v>
      </c>
      <c r="H712" s="184">
        <v>0</v>
      </c>
      <c r="I712" s="184">
        <v>0</v>
      </c>
      <c r="J712" s="184">
        <v>0</v>
      </c>
      <c r="K712" s="184">
        <v>0</v>
      </c>
      <c r="L712" s="184">
        <v>0</v>
      </c>
      <c r="M712" s="654" t="s">
        <v>24</v>
      </c>
      <c r="N712" s="588" t="s">
        <v>102</v>
      </c>
      <c r="O712" s="642">
        <v>0</v>
      </c>
      <c r="P712" s="184">
        <v>0</v>
      </c>
      <c r="Q712" s="184">
        <v>0</v>
      </c>
      <c r="R712" s="184">
        <v>1</v>
      </c>
      <c r="S712" s="184">
        <v>1</v>
      </c>
      <c r="T712" s="184">
        <v>1</v>
      </c>
      <c r="U712" s="184">
        <v>2</v>
      </c>
      <c r="V712" s="184">
        <v>1</v>
      </c>
      <c r="W712" s="184">
        <v>2</v>
      </c>
      <c r="X712" s="184">
        <v>1</v>
      </c>
      <c r="Y712" s="184">
        <v>0</v>
      </c>
      <c r="Z712" s="184">
        <v>0</v>
      </c>
      <c r="AA712" s="184">
        <v>0</v>
      </c>
      <c r="AB712" s="184">
        <v>0</v>
      </c>
      <c r="AC712" s="185">
        <v>38.4</v>
      </c>
      <c r="AD712" s="185" t="s">
        <v>24</v>
      </c>
      <c r="AE712" s="184">
        <v>0</v>
      </c>
      <c r="AF712" s="185">
        <v>0</v>
      </c>
      <c r="AG712" s="184">
        <v>0</v>
      </c>
      <c r="AH712" s="185">
        <v>0</v>
      </c>
      <c r="AI712" s="184">
        <v>0</v>
      </c>
      <c r="AJ712" s="643">
        <v>0</v>
      </c>
    </row>
    <row r="713" spans="1:36" x14ac:dyDescent="0.2">
      <c r="A713" s="440" t="s">
        <v>62</v>
      </c>
      <c r="B713" s="642">
        <v>12</v>
      </c>
      <c r="C713" s="184">
        <v>1</v>
      </c>
      <c r="D713" s="184">
        <v>8</v>
      </c>
      <c r="E713" s="184">
        <v>0</v>
      </c>
      <c r="F713" s="184">
        <v>3</v>
      </c>
      <c r="G713" s="184">
        <v>0</v>
      </c>
      <c r="H713" s="184">
        <v>0</v>
      </c>
      <c r="I713" s="184">
        <v>0</v>
      </c>
      <c r="J713" s="184">
        <v>0</v>
      </c>
      <c r="K713" s="184">
        <v>0</v>
      </c>
      <c r="L713" s="184">
        <v>0</v>
      </c>
      <c r="M713" s="654" t="s">
        <v>24</v>
      </c>
      <c r="N713" s="588" t="s">
        <v>62</v>
      </c>
      <c r="O713" s="642">
        <v>0</v>
      </c>
      <c r="P713" s="184">
        <v>0</v>
      </c>
      <c r="Q713" s="184">
        <v>1</v>
      </c>
      <c r="R713" s="184">
        <v>1</v>
      </c>
      <c r="S713" s="184">
        <v>2</v>
      </c>
      <c r="T713" s="184">
        <v>0</v>
      </c>
      <c r="U713" s="184">
        <v>2</v>
      </c>
      <c r="V713" s="184">
        <v>3</v>
      </c>
      <c r="W713" s="184">
        <v>2</v>
      </c>
      <c r="X713" s="184">
        <v>1</v>
      </c>
      <c r="Y713" s="184">
        <v>0</v>
      </c>
      <c r="Z713" s="184">
        <v>0</v>
      </c>
      <c r="AA713" s="184">
        <v>0</v>
      </c>
      <c r="AB713" s="184">
        <v>0</v>
      </c>
      <c r="AC713" s="185">
        <v>37</v>
      </c>
      <c r="AD713" s="185">
        <v>49.8</v>
      </c>
      <c r="AE713" s="184">
        <v>0</v>
      </c>
      <c r="AF713" s="185">
        <v>0</v>
      </c>
      <c r="AG713" s="184">
        <v>0</v>
      </c>
      <c r="AH713" s="185">
        <v>0</v>
      </c>
      <c r="AI713" s="184">
        <v>0</v>
      </c>
      <c r="AJ713" s="643">
        <v>0</v>
      </c>
    </row>
    <row r="714" spans="1:36" x14ac:dyDescent="0.2">
      <c r="A714" s="440" t="s">
        <v>103</v>
      </c>
      <c r="B714" s="642">
        <v>8</v>
      </c>
      <c r="C714" s="184">
        <v>0</v>
      </c>
      <c r="D714" s="184">
        <v>6</v>
      </c>
      <c r="E714" s="184">
        <v>0</v>
      </c>
      <c r="F714" s="184">
        <v>2</v>
      </c>
      <c r="G714" s="184">
        <v>0</v>
      </c>
      <c r="H714" s="184">
        <v>0</v>
      </c>
      <c r="I714" s="184">
        <v>0</v>
      </c>
      <c r="J714" s="184">
        <v>0</v>
      </c>
      <c r="K714" s="184">
        <v>0</v>
      </c>
      <c r="L714" s="184">
        <v>0</v>
      </c>
      <c r="M714" s="654" t="s">
        <v>24</v>
      </c>
      <c r="N714" s="588" t="s">
        <v>103</v>
      </c>
      <c r="O714" s="642">
        <v>0</v>
      </c>
      <c r="P714" s="184">
        <v>0</v>
      </c>
      <c r="Q714" s="184">
        <v>0</v>
      </c>
      <c r="R714" s="184">
        <v>0</v>
      </c>
      <c r="S714" s="184">
        <v>0</v>
      </c>
      <c r="T714" s="184">
        <v>0</v>
      </c>
      <c r="U714" s="184">
        <v>2</v>
      </c>
      <c r="V714" s="184">
        <v>2</v>
      </c>
      <c r="W714" s="184">
        <v>4</v>
      </c>
      <c r="X714" s="184">
        <v>0</v>
      </c>
      <c r="Y714" s="184">
        <v>0</v>
      </c>
      <c r="Z714" s="184">
        <v>0</v>
      </c>
      <c r="AA714" s="184">
        <v>0</v>
      </c>
      <c r="AB714" s="184">
        <v>0</v>
      </c>
      <c r="AC714" s="185">
        <v>43.3</v>
      </c>
      <c r="AD714" s="185" t="s">
        <v>24</v>
      </c>
      <c r="AE714" s="184">
        <v>0</v>
      </c>
      <c r="AF714" s="185">
        <v>0</v>
      </c>
      <c r="AG714" s="184">
        <v>0</v>
      </c>
      <c r="AH714" s="185">
        <v>0</v>
      </c>
      <c r="AI714" s="184">
        <v>0</v>
      </c>
      <c r="AJ714" s="643">
        <v>0</v>
      </c>
    </row>
    <row r="715" spans="1:36" x14ac:dyDescent="0.2">
      <c r="A715" s="440" t="s">
        <v>104</v>
      </c>
      <c r="B715" s="642">
        <v>10</v>
      </c>
      <c r="C715" s="184">
        <v>0</v>
      </c>
      <c r="D715" s="184">
        <v>9</v>
      </c>
      <c r="E715" s="184">
        <v>0</v>
      </c>
      <c r="F715" s="184">
        <v>1</v>
      </c>
      <c r="G715" s="184">
        <v>0</v>
      </c>
      <c r="H715" s="184">
        <v>0</v>
      </c>
      <c r="I715" s="184">
        <v>0</v>
      </c>
      <c r="J715" s="184">
        <v>0</v>
      </c>
      <c r="K715" s="184">
        <v>0</v>
      </c>
      <c r="L715" s="184">
        <v>0</v>
      </c>
      <c r="M715" s="654" t="s">
        <v>24</v>
      </c>
      <c r="N715" s="588" t="s">
        <v>104</v>
      </c>
      <c r="O715" s="642">
        <v>0</v>
      </c>
      <c r="P715" s="184">
        <v>1</v>
      </c>
      <c r="Q715" s="184">
        <v>0</v>
      </c>
      <c r="R715" s="184">
        <v>0</v>
      </c>
      <c r="S715" s="184">
        <v>0</v>
      </c>
      <c r="T715" s="184">
        <v>0</v>
      </c>
      <c r="U715" s="184">
        <v>5</v>
      </c>
      <c r="V715" s="184">
        <v>4</v>
      </c>
      <c r="W715" s="184">
        <v>0</v>
      </c>
      <c r="X715" s="184">
        <v>0</v>
      </c>
      <c r="Y715" s="184">
        <v>0</v>
      </c>
      <c r="Z715" s="184">
        <v>0</v>
      </c>
      <c r="AA715" s="184">
        <v>0</v>
      </c>
      <c r="AB715" s="184">
        <v>0</v>
      </c>
      <c r="AC715" s="185">
        <v>37.799999999999997</v>
      </c>
      <c r="AD715" s="185" t="s">
        <v>24</v>
      </c>
      <c r="AE715" s="184">
        <v>0</v>
      </c>
      <c r="AF715" s="185">
        <v>0</v>
      </c>
      <c r="AG715" s="184">
        <v>0</v>
      </c>
      <c r="AH715" s="185">
        <v>0</v>
      </c>
      <c r="AI715" s="184">
        <v>0</v>
      </c>
      <c r="AJ715" s="643">
        <v>0</v>
      </c>
    </row>
    <row r="716" spans="1:36" x14ac:dyDescent="0.2">
      <c r="A716" s="440" t="s">
        <v>105</v>
      </c>
      <c r="B716" s="642">
        <v>9</v>
      </c>
      <c r="C716" s="184">
        <v>0</v>
      </c>
      <c r="D716" s="184">
        <v>8</v>
      </c>
      <c r="E716" s="184">
        <v>0</v>
      </c>
      <c r="F716" s="184">
        <v>1</v>
      </c>
      <c r="G716" s="184">
        <v>0</v>
      </c>
      <c r="H716" s="184">
        <v>0</v>
      </c>
      <c r="I716" s="184">
        <v>0</v>
      </c>
      <c r="J716" s="184">
        <v>0</v>
      </c>
      <c r="K716" s="184">
        <v>0</v>
      </c>
      <c r="L716" s="184">
        <v>0</v>
      </c>
      <c r="M716" s="654" t="s">
        <v>24</v>
      </c>
      <c r="N716" s="588" t="s">
        <v>105</v>
      </c>
      <c r="O716" s="642">
        <v>0</v>
      </c>
      <c r="P716" s="184">
        <v>0</v>
      </c>
      <c r="Q716" s="184">
        <v>0</v>
      </c>
      <c r="R716" s="184">
        <v>0</v>
      </c>
      <c r="S716" s="184">
        <v>0</v>
      </c>
      <c r="T716" s="184">
        <v>4</v>
      </c>
      <c r="U716" s="184">
        <v>2</v>
      </c>
      <c r="V716" s="184">
        <v>2</v>
      </c>
      <c r="W716" s="184">
        <v>1</v>
      </c>
      <c r="X716" s="184">
        <v>0</v>
      </c>
      <c r="Y716" s="184">
        <v>0</v>
      </c>
      <c r="Z716" s="184">
        <v>0</v>
      </c>
      <c r="AA716" s="184">
        <v>0</v>
      </c>
      <c r="AB716" s="184">
        <v>0</v>
      </c>
      <c r="AC716" s="185">
        <v>37.700000000000003</v>
      </c>
      <c r="AD716" s="185" t="s">
        <v>24</v>
      </c>
      <c r="AE716" s="184">
        <v>0</v>
      </c>
      <c r="AF716" s="185">
        <v>0</v>
      </c>
      <c r="AG716" s="184">
        <v>0</v>
      </c>
      <c r="AH716" s="185">
        <v>0</v>
      </c>
      <c r="AI716" s="184">
        <v>0</v>
      </c>
      <c r="AJ716" s="643">
        <v>0</v>
      </c>
    </row>
    <row r="717" spans="1:36" x14ac:dyDescent="0.2">
      <c r="A717" s="440" t="s">
        <v>64</v>
      </c>
      <c r="B717" s="642">
        <v>10</v>
      </c>
      <c r="C717" s="184">
        <v>1</v>
      </c>
      <c r="D717" s="184">
        <v>8</v>
      </c>
      <c r="E717" s="184">
        <v>0</v>
      </c>
      <c r="F717" s="184">
        <v>1</v>
      </c>
      <c r="G717" s="184">
        <v>0</v>
      </c>
      <c r="H717" s="184">
        <v>0</v>
      </c>
      <c r="I717" s="184">
        <v>0</v>
      </c>
      <c r="J717" s="184">
        <v>0</v>
      </c>
      <c r="K717" s="184">
        <v>0</v>
      </c>
      <c r="L717" s="184">
        <v>0</v>
      </c>
      <c r="M717" s="654" t="s">
        <v>24</v>
      </c>
      <c r="N717" s="588" t="s">
        <v>64</v>
      </c>
      <c r="O717" s="642">
        <v>1</v>
      </c>
      <c r="P717" s="184">
        <v>1</v>
      </c>
      <c r="Q717" s="184">
        <v>0</v>
      </c>
      <c r="R717" s="184">
        <v>0</v>
      </c>
      <c r="S717" s="184">
        <v>0</v>
      </c>
      <c r="T717" s="184">
        <v>2</v>
      </c>
      <c r="U717" s="184">
        <v>1</v>
      </c>
      <c r="V717" s="184">
        <v>3</v>
      </c>
      <c r="W717" s="184">
        <v>1</v>
      </c>
      <c r="X717" s="184">
        <v>0</v>
      </c>
      <c r="Y717" s="184">
        <v>1</v>
      </c>
      <c r="Z717" s="184">
        <v>0</v>
      </c>
      <c r="AA717" s="184">
        <v>0</v>
      </c>
      <c r="AB717" s="184">
        <v>0</v>
      </c>
      <c r="AC717" s="185">
        <v>36.299999999999997</v>
      </c>
      <c r="AD717" s="185" t="s">
        <v>24</v>
      </c>
      <c r="AE717" s="184">
        <v>1</v>
      </c>
      <c r="AF717" s="185">
        <v>10</v>
      </c>
      <c r="AG717" s="184">
        <v>0</v>
      </c>
      <c r="AH717" s="185">
        <v>0</v>
      </c>
      <c r="AI717" s="184">
        <v>0</v>
      </c>
      <c r="AJ717" s="643">
        <v>0</v>
      </c>
    </row>
    <row r="718" spans="1:36" x14ac:dyDescent="0.2">
      <c r="A718" s="440" t="s">
        <v>106</v>
      </c>
      <c r="B718" s="642">
        <v>4</v>
      </c>
      <c r="C718" s="184">
        <v>0</v>
      </c>
      <c r="D718" s="184">
        <v>4</v>
      </c>
      <c r="E718" s="184">
        <v>0</v>
      </c>
      <c r="F718" s="184">
        <v>0</v>
      </c>
      <c r="G718" s="184">
        <v>0</v>
      </c>
      <c r="H718" s="184">
        <v>0</v>
      </c>
      <c r="I718" s="184">
        <v>0</v>
      </c>
      <c r="J718" s="184">
        <v>0</v>
      </c>
      <c r="K718" s="184">
        <v>0</v>
      </c>
      <c r="L718" s="184">
        <v>0</v>
      </c>
      <c r="M718" s="654" t="s">
        <v>24</v>
      </c>
      <c r="N718" s="588" t="s">
        <v>106</v>
      </c>
      <c r="O718" s="642">
        <v>0</v>
      </c>
      <c r="P718" s="184">
        <v>0</v>
      </c>
      <c r="Q718" s="184">
        <v>0</v>
      </c>
      <c r="R718" s="184">
        <v>0</v>
      </c>
      <c r="S718" s="184">
        <v>0</v>
      </c>
      <c r="T718" s="184">
        <v>1</v>
      </c>
      <c r="U718" s="184">
        <v>1</v>
      </c>
      <c r="V718" s="184">
        <v>0</v>
      </c>
      <c r="W718" s="184">
        <v>2</v>
      </c>
      <c r="X718" s="184">
        <v>0</v>
      </c>
      <c r="Y718" s="184">
        <v>0</v>
      </c>
      <c r="Z718" s="184">
        <v>0</v>
      </c>
      <c r="AA718" s="184">
        <v>0</v>
      </c>
      <c r="AB718" s="184">
        <v>0</v>
      </c>
      <c r="AC718" s="185">
        <v>41.6</v>
      </c>
      <c r="AD718" s="185" t="s">
        <v>24</v>
      </c>
      <c r="AE718" s="184">
        <v>0</v>
      </c>
      <c r="AF718" s="185">
        <v>0</v>
      </c>
      <c r="AG718" s="184">
        <v>0</v>
      </c>
      <c r="AH718" s="185">
        <v>0</v>
      </c>
      <c r="AI718" s="184">
        <v>0</v>
      </c>
      <c r="AJ718" s="643">
        <v>0</v>
      </c>
    </row>
    <row r="719" spans="1:36" x14ac:dyDescent="0.2">
      <c r="A719" s="440" t="s">
        <v>107</v>
      </c>
      <c r="B719" s="642">
        <v>10</v>
      </c>
      <c r="C719" s="184">
        <v>0</v>
      </c>
      <c r="D719" s="184">
        <v>8</v>
      </c>
      <c r="E719" s="184">
        <v>0</v>
      </c>
      <c r="F719" s="184">
        <v>2</v>
      </c>
      <c r="G719" s="184">
        <v>0</v>
      </c>
      <c r="H719" s="184">
        <v>0</v>
      </c>
      <c r="I719" s="184">
        <v>0</v>
      </c>
      <c r="J719" s="184">
        <v>0</v>
      </c>
      <c r="K719" s="184">
        <v>0</v>
      </c>
      <c r="L719" s="184">
        <v>0</v>
      </c>
      <c r="M719" s="654" t="s">
        <v>24</v>
      </c>
      <c r="N719" s="588" t="s">
        <v>107</v>
      </c>
      <c r="O719" s="642">
        <v>0</v>
      </c>
      <c r="P719" s="184">
        <v>0</v>
      </c>
      <c r="Q719" s="184">
        <v>0</v>
      </c>
      <c r="R719" s="184">
        <v>0</v>
      </c>
      <c r="S719" s="184">
        <v>1</v>
      </c>
      <c r="T719" s="184">
        <v>2</v>
      </c>
      <c r="U719" s="184">
        <v>3</v>
      </c>
      <c r="V719" s="184">
        <v>2</v>
      </c>
      <c r="W719" s="184">
        <v>0</v>
      </c>
      <c r="X719" s="184">
        <v>2</v>
      </c>
      <c r="Y719" s="184">
        <v>0</v>
      </c>
      <c r="Z719" s="184">
        <v>0</v>
      </c>
      <c r="AA719" s="184">
        <v>0</v>
      </c>
      <c r="AB719" s="184">
        <v>0</v>
      </c>
      <c r="AC719" s="185">
        <v>39.6</v>
      </c>
      <c r="AD719" s="185" t="s">
        <v>24</v>
      </c>
      <c r="AE719" s="184">
        <v>0</v>
      </c>
      <c r="AF719" s="185">
        <v>0</v>
      </c>
      <c r="AG719" s="184">
        <v>0</v>
      </c>
      <c r="AH719" s="185">
        <v>0</v>
      </c>
      <c r="AI719" s="184">
        <v>0</v>
      </c>
      <c r="AJ719" s="643">
        <v>0</v>
      </c>
    </row>
    <row r="720" spans="1:36" x14ac:dyDescent="0.2">
      <c r="A720" s="440" t="s">
        <v>108</v>
      </c>
      <c r="B720" s="642">
        <v>13</v>
      </c>
      <c r="C720" s="184">
        <v>1</v>
      </c>
      <c r="D720" s="184">
        <v>11</v>
      </c>
      <c r="E720" s="184">
        <v>0</v>
      </c>
      <c r="F720" s="184">
        <v>1</v>
      </c>
      <c r="G720" s="184">
        <v>0</v>
      </c>
      <c r="H720" s="184">
        <v>0</v>
      </c>
      <c r="I720" s="184">
        <v>0</v>
      </c>
      <c r="J720" s="184">
        <v>0</v>
      </c>
      <c r="K720" s="184">
        <v>0</v>
      </c>
      <c r="L720" s="184">
        <v>0</v>
      </c>
      <c r="M720" s="654" t="s">
        <v>24</v>
      </c>
      <c r="N720" s="588" t="s">
        <v>108</v>
      </c>
      <c r="O720" s="642">
        <v>1</v>
      </c>
      <c r="P720" s="184">
        <v>0</v>
      </c>
      <c r="Q720" s="184">
        <v>0</v>
      </c>
      <c r="R720" s="184">
        <v>0</v>
      </c>
      <c r="S720" s="184">
        <v>0</v>
      </c>
      <c r="T720" s="184">
        <v>2</v>
      </c>
      <c r="U720" s="184">
        <v>3</v>
      </c>
      <c r="V720" s="184">
        <v>5</v>
      </c>
      <c r="W720" s="184">
        <v>1</v>
      </c>
      <c r="X720" s="184">
        <v>1</v>
      </c>
      <c r="Y720" s="184">
        <v>0</v>
      </c>
      <c r="Z720" s="184">
        <v>0</v>
      </c>
      <c r="AA720" s="184">
        <v>0</v>
      </c>
      <c r="AB720" s="184">
        <v>0</v>
      </c>
      <c r="AC720" s="185">
        <v>38.5</v>
      </c>
      <c r="AD720" s="185">
        <v>48.9</v>
      </c>
      <c r="AE720" s="184">
        <v>0</v>
      </c>
      <c r="AF720" s="185">
        <v>0</v>
      </c>
      <c r="AG720" s="184">
        <v>0</v>
      </c>
      <c r="AH720" s="185">
        <v>0</v>
      </c>
      <c r="AI720" s="184">
        <v>0</v>
      </c>
      <c r="AJ720" s="643">
        <v>0</v>
      </c>
    </row>
    <row r="721" spans="1:36" x14ac:dyDescent="0.2">
      <c r="A721" s="440" t="s">
        <v>65</v>
      </c>
      <c r="B721" s="646">
        <v>17</v>
      </c>
      <c r="C721" s="186">
        <v>1</v>
      </c>
      <c r="D721" s="186">
        <v>16</v>
      </c>
      <c r="E721" s="186">
        <v>0</v>
      </c>
      <c r="F721" s="186">
        <v>0</v>
      </c>
      <c r="G721" s="186">
        <v>0</v>
      </c>
      <c r="H721" s="186">
        <v>0</v>
      </c>
      <c r="I721" s="186">
        <v>0</v>
      </c>
      <c r="J721" s="186">
        <v>0</v>
      </c>
      <c r="K721" s="186">
        <v>0</v>
      </c>
      <c r="L721" s="186">
        <v>0</v>
      </c>
      <c r="M721" s="656" t="s">
        <v>24</v>
      </c>
      <c r="N721" s="588" t="s">
        <v>65</v>
      </c>
      <c r="O721" s="646">
        <v>0</v>
      </c>
      <c r="P721" s="186">
        <v>0</v>
      </c>
      <c r="Q721" s="186">
        <v>1</v>
      </c>
      <c r="R721" s="186">
        <v>0</v>
      </c>
      <c r="S721" s="186">
        <v>0</v>
      </c>
      <c r="T721" s="186">
        <v>7</v>
      </c>
      <c r="U721" s="186">
        <v>6</v>
      </c>
      <c r="V721" s="186">
        <v>2</v>
      </c>
      <c r="W721" s="186">
        <v>0</v>
      </c>
      <c r="X721" s="186">
        <v>1</v>
      </c>
      <c r="Y721" s="186">
        <v>0</v>
      </c>
      <c r="Z721" s="186">
        <v>0</v>
      </c>
      <c r="AA721" s="186">
        <v>0</v>
      </c>
      <c r="AB721" s="186">
        <v>0</v>
      </c>
      <c r="AC721" s="187">
        <v>35.6</v>
      </c>
      <c r="AD721" s="187">
        <v>41.5</v>
      </c>
      <c r="AE721" s="186">
        <v>0</v>
      </c>
      <c r="AF721" s="187">
        <v>0</v>
      </c>
      <c r="AG721" s="186">
        <v>0</v>
      </c>
      <c r="AH721" s="187">
        <v>0</v>
      </c>
      <c r="AI721" s="186">
        <v>0</v>
      </c>
      <c r="AJ721" s="647">
        <v>0</v>
      </c>
    </row>
    <row r="722" spans="1:36" x14ac:dyDescent="0.2">
      <c r="A722" s="440" t="s">
        <v>109</v>
      </c>
      <c r="B722" s="642">
        <v>12</v>
      </c>
      <c r="C722" s="184">
        <v>0</v>
      </c>
      <c r="D722" s="184">
        <v>10</v>
      </c>
      <c r="E722" s="184">
        <v>0</v>
      </c>
      <c r="F722" s="184">
        <v>2</v>
      </c>
      <c r="G722" s="184">
        <v>0</v>
      </c>
      <c r="H722" s="184">
        <v>0</v>
      </c>
      <c r="I722" s="184">
        <v>0</v>
      </c>
      <c r="J722" s="184">
        <v>0</v>
      </c>
      <c r="K722" s="184">
        <v>0</v>
      </c>
      <c r="L722" s="184">
        <v>0</v>
      </c>
      <c r="M722" s="654" t="s">
        <v>24</v>
      </c>
      <c r="N722" s="588" t="s">
        <v>109</v>
      </c>
      <c r="O722" s="642">
        <v>0</v>
      </c>
      <c r="P722" s="184">
        <v>0</v>
      </c>
      <c r="Q722" s="184">
        <v>0</v>
      </c>
      <c r="R722" s="184">
        <v>3</v>
      </c>
      <c r="S722" s="184">
        <v>0</v>
      </c>
      <c r="T722" s="184">
        <v>1</v>
      </c>
      <c r="U722" s="184">
        <v>1</v>
      </c>
      <c r="V722" s="184">
        <v>4</v>
      </c>
      <c r="W722" s="184">
        <v>3</v>
      </c>
      <c r="X722" s="184">
        <v>0</v>
      </c>
      <c r="Y722" s="184">
        <v>0</v>
      </c>
      <c r="Z722" s="184">
        <v>0</v>
      </c>
      <c r="AA722" s="184">
        <v>0</v>
      </c>
      <c r="AB722" s="184">
        <v>0</v>
      </c>
      <c r="AC722" s="185">
        <v>37.299999999999997</v>
      </c>
      <c r="AD722" s="185">
        <v>46.4</v>
      </c>
      <c r="AE722" s="184">
        <v>0</v>
      </c>
      <c r="AF722" s="185">
        <v>0</v>
      </c>
      <c r="AG722" s="184">
        <v>0</v>
      </c>
      <c r="AH722" s="185">
        <v>0</v>
      </c>
      <c r="AI722" s="184">
        <v>0</v>
      </c>
      <c r="AJ722" s="643">
        <v>0</v>
      </c>
    </row>
    <row r="723" spans="1:36" x14ac:dyDescent="0.2">
      <c r="A723" s="440" t="s">
        <v>110</v>
      </c>
      <c r="B723" s="642">
        <v>9</v>
      </c>
      <c r="C723" s="184">
        <v>0</v>
      </c>
      <c r="D723" s="184">
        <v>9</v>
      </c>
      <c r="E723" s="184">
        <v>0</v>
      </c>
      <c r="F723" s="184">
        <v>0</v>
      </c>
      <c r="G723" s="184">
        <v>0</v>
      </c>
      <c r="H723" s="184">
        <v>0</v>
      </c>
      <c r="I723" s="184">
        <v>0</v>
      </c>
      <c r="J723" s="184">
        <v>0</v>
      </c>
      <c r="K723" s="184">
        <v>0</v>
      </c>
      <c r="L723" s="184">
        <v>0</v>
      </c>
      <c r="M723" s="654" t="s">
        <v>24</v>
      </c>
      <c r="N723" s="588" t="s">
        <v>110</v>
      </c>
      <c r="O723" s="642">
        <v>0</v>
      </c>
      <c r="P723" s="184">
        <v>0</v>
      </c>
      <c r="Q723" s="184">
        <v>0</v>
      </c>
      <c r="R723" s="184">
        <v>0</v>
      </c>
      <c r="S723" s="184">
        <v>0</v>
      </c>
      <c r="T723" s="184">
        <v>2</v>
      </c>
      <c r="U723" s="184">
        <v>1</v>
      </c>
      <c r="V723" s="184">
        <v>0</v>
      </c>
      <c r="W723" s="184">
        <v>2</v>
      </c>
      <c r="X723" s="184">
        <v>4</v>
      </c>
      <c r="Y723" s="184">
        <v>0</v>
      </c>
      <c r="Z723" s="184">
        <v>0</v>
      </c>
      <c r="AA723" s="184">
        <v>0</v>
      </c>
      <c r="AB723" s="184">
        <v>0</v>
      </c>
      <c r="AC723" s="185">
        <v>46.1</v>
      </c>
      <c r="AD723" s="185" t="s">
        <v>24</v>
      </c>
      <c r="AE723" s="184">
        <v>0</v>
      </c>
      <c r="AF723" s="185">
        <v>0</v>
      </c>
      <c r="AG723" s="184">
        <v>0</v>
      </c>
      <c r="AH723" s="185">
        <v>0</v>
      </c>
      <c r="AI723" s="184">
        <v>0</v>
      </c>
      <c r="AJ723" s="643">
        <v>0</v>
      </c>
    </row>
    <row r="724" spans="1:36" x14ac:dyDescent="0.2">
      <c r="A724" s="440" t="s">
        <v>111</v>
      </c>
      <c r="B724" s="642">
        <v>10</v>
      </c>
      <c r="C724" s="184">
        <v>1</v>
      </c>
      <c r="D724" s="184">
        <v>7</v>
      </c>
      <c r="E724" s="184">
        <v>0</v>
      </c>
      <c r="F724" s="184">
        <v>2</v>
      </c>
      <c r="G724" s="184">
        <v>0</v>
      </c>
      <c r="H724" s="184">
        <v>0</v>
      </c>
      <c r="I724" s="184">
        <v>0</v>
      </c>
      <c r="J724" s="184">
        <v>0</v>
      </c>
      <c r="K724" s="184">
        <v>0</v>
      </c>
      <c r="L724" s="184">
        <v>0</v>
      </c>
      <c r="M724" s="654" t="s">
        <v>24</v>
      </c>
      <c r="N724" s="588" t="s">
        <v>111</v>
      </c>
      <c r="O724" s="642">
        <v>0</v>
      </c>
      <c r="P724" s="184">
        <v>0</v>
      </c>
      <c r="Q724" s="184">
        <v>1</v>
      </c>
      <c r="R724" s="184">
        <v>0</v>
      </c>
      <c r="S724" s="184">
        <v>0</v>
      </c>
      <c r="T724" s="184">
        <v>1</v>
      </c>
      <c r="U724" s="184">
        <v>3</v>
      </c>
      <c r="V724" s="184">
        <v>2</v>
      </c>
      <c r="W724" s="184">
        <v>2</v>
      </c>
      <c r="X724" s="184">
        <v>1</v>
      </c>
      <c r="Y724" s="184">
        <v>0</v>
      </c>
      <c r="Z724" s="184">
        <v>0</v>
      </c>
      <c r="AA724" s="184">
        <v>0</v>
      </c>
      <c r="AB724" s="184">
        <v>0</v>
      </c>
      <c r="AC724" s="185">
        <v>39.700000000000003</v>
      </c>
      <c r="AD724" s="185" t="s">
        <v>24</v>
      </c>
      <c r="AE724" s="184">
        <v>0</v>
      </c>
      <c r="AF724" s="185">
        <v>0</v>
      </c>
      <c r="AG724" s="184">
        <v>0</v>
      </c>
      <c r="AH724" s="185">
        <v>0</v>
      </c>
      <c r="AI724" s="184">
        <v>0</v>
      </c>
      <c r="AJ724" s="643">
        <v>0</v>
      </c>
    </row>
    <row r="725" spans="1:36" x14ac:dyDescent="0.2">
      <c r="A725" s="440" t="s">
        <v>67</v>
      </c>
      <c r="B725" s="642">
        <v>15</v>
      </c>
      <c r="C725" s="184">
        <v>0</v>
      </c>
      <c r="D725" s="184">
        <v>13</v>
      </c>
      <c r="E725" s="184">
        <v>0</v>
      </c>
      <c r="F725" s="184">
        <v>2</v>
      </c>
      <c r="G725" s="184">
        <v>0</v>
      </c>
      <c r="H725" s="184">
        <v>0</v>
      </c>
      <c r="I725" s="184">
        <v>0</v>
      </c>
      <c r="J725" s="184">
        <v>0</v>
      </c>
      <c r="K725" s="184">
        <v>0</v>
      </c>
      <c r="L725" s="184">
        <v>0</v>
      </c>
      <c r="M725" s="654" t="s">
        <v>24</v>
      </c>
      <c r="N725" s="588" t="s">
        <v>67</v>
      </c>
      <c r="O725" s="642">
        <v>0</v>
      </c>
      <c r="P725" s="184">
        <v>0</v>
      </c>
      <c r="Q725" s="184">
        <v>0</v>
      </c>
      <c r="R725" s="184">
        <v>0</v>
      </c>
      <c r="S725" s="184">
        <v>0</v>
      </c>
      <c r="T725" s="184">
        <v>1</v>
      </c>
      <c r="U725" s="184">
        <v>1</v>
      </c>
      <c r="V725" s="184">
        <v>5</v>
      </c>
      <c r="W725" s="184">
        <v>4</v>
      </c>
      <c r="X725" s="184">
        <v>4</v>
      </c>
      <c r="Y725" s="184">
        <v>0</v>
      </c>
      <c r="Z725" s="184">
        <v>0</v>
      </c>
      <c r="AA725" s="184">
        <v>0</v>
      </c>
      <c r="AB725" s="184">
        <v>0</v>
      </c>
      <c r="AC725" s="185">
        <v>45.9</v>
      </c>
      <c r="AD725" s="185">
        <v>55.7</v>
      </c>
      <c r="AE725" s="184">
        <v>0</v>
      </c>
      <c r="AF725" s="185">
        <v>0</v>
      </c>
      <c r="AG725" s="184">
        <v>0</v>
      </c>
      <c r="AH725" s="185">
        <v>0</v>
      </c>
      <c r="AI725" s="184">
        <v>0</v>
      </c>
      <c r="AJ725" s="643">
        <v>0</v>
      </c>
    </row>
    <row r="726" spans="1:36" x14ac:dyDescent="0.2">
      <c r="A726" s="440" t="s">
        <v>112</v>
      </c>
      <c r="B726" s="642">
        <v>10</v>
      </c>
      <c r="C726" s="184">
        <v>0</v>
      </c>
      <c r="D726" s="184">
        <v>9</v>
      </c>
      <c r="E726" s="184">
        <v>0</v>
      </c>
      <c r="F726" s="184">
        <v>1</v>
      </c>
      <c r="G726" s="184">
        <v>0</v>
      </c>
      <c r="H726" s="184">
        <v>0</v>
      </c>
      <c r="I726" s="184">
        <v>0</v>
      </c>
      <c r="J726" s="184">
        <v>0</v>
      </c>
      <c r="K726" s="184">
        <v>0</v>
      </c>
      <c r="L726" s="184">
        <v>0</v>
      </c>
      <c r="M726" s="654" t="s">
        <v>24</v>
      </c>
      <c r="N726" s="588" t="s">
        <v>112</v>
      </c>
      <c r="O726" s="642">
        <v>0</v>
      </c>
      <c r="P726" s="184">
        <v>0</v>
      </c>
      <c r="Q726" s="184">
        <v>0</v>
      </c>
      <c r="R726" s="184">
        <v>0</v>
      </c>
      <c r="S726" s="184">
        <v>0</v>
      </c>
      <c r="T726" s="184">
        <v>4</v>
      </c>
      <c r="U726" s="184">
        <v>2</v>
      </c>
      <c r="V726" s="184">
        <v>2</v>
      </c>
      <c r="W726" s="184">
        <v>1</v>
      </c>
      <c r="X726" s="184">
        <v>1</v>
      </c>
      <c r="Y726" s="184">
        <v>0</v>
      </c>
      <c r="Z726" s="184">
        <v>0</v>
      </c>
      <c r="AA726" s="184">
        <v>0</v>
      </c>
      <c r="AB726" s="184">
        <v>0</v>
      </c>
      <c r="AC726" s="185">
        <v>38.700000000000003</v>
      </c>
      <c r="AD726" s="185" t="s">
        <v>24</v>
      </c>
      <c r="AE726" s="184">
        <v>0</v>
      </c>
      <c r="AF726" s="185">
        <v>0</v>
      </c>
      <c r="AG726" s="184">
        <v>0</v>
      </c>
      <c r="AH726" s="185">
        <v>0</v>
      </c>
      <c r="AI726" s="184">
        <v>0</v>
      </c>
      <c r="AJ726" s="643">
        <v>0</v>
      </c>
    </row>
    <row r="727" spans="1:36" x14ac:dyDescent="0.2">
      <c r="A727" s="440" t="s">
        <v>113</v>
      </c>
      <c r="B727" s="642">
        <v>15</v>
      </c>
      <c r="C727" s="184">
        <v>1</v>
      </c>
      <c r="D727" s="184">
        <v>14</v>
      </c>
      <c r="E727" s="184">
        <v>0</v>
      </c>
      <c r="F727" s="184">
        <v>0</v>
      </c>
      <c r="G727" s="184">
        <v>0</v>
      </c>
      <c r="H727" s="184">
        <v>0</v>
      </c>
      <c r="I727" s="184">
        <v>0</v>
      </c>
      <c r="J727" s="184">
        <v>0</v>
      </c>
      <c r="K727" s="184">
        <v>0</v>
      </c>
      <c r="L727" s="184">
        <v>0</v>
      </c>
      <c r="M727" s="654" t="s">
        <v>24</v>
      </c>
      <c r="N727" s="588" t="s">
        <v>113</v>
      </c>
      <c r="O727" s="642">
        <v>0</v>
      </c>
      <c r="P727" s="184">
        <v>1</v>
      </c>
      <c r="Q727" s="184">
        <v>0</v>
      </c>
      <c r="R727" s="184">
        <v>0</v>
      </c>
      <c r="S727" s="184">
        <v>0</v>
      </c>
      <c r="T727" s="184">
        <v>5</v>
      </c>
      <c r="U727" s="184">
        <v>2</v>
      </c>
      <c r="V727" s="184">
        <v>3</v>
      </c>
      <c r="W727" s="184">
        <v>2</v>
      </c>
      <c r="X727" s="184">
        <v>2</v>
      </c>
      <c r="Y727" s="184">
        <v>0</v>
      </c>
      <c r="Z727" s="184">
        <v>0</v>
      </c>
      <c r="AA727" s="184">
        <v>0</v>
      </c>
      <c r="AB727" s="184">
        <v>0</v>
      </c>
      <c r="AC727" s="185">
        <v>39</v>
      </c>
      <c r="AD727" s="185">
        <v>49.7</v>
      </c>
      <c r="AE727" s="184">
        <v>0</v>
      </c>
      <c r="AF727" s="185">
        <v>0</v>
      </c>
      <c r="AG727" s="184">
        <v>0</v>
      </c>
      <c r="AH727" s="185">
        <v>0</v>
      </c>
      <c r="AI727" s="184">
        <v>0</v>
      </c>
      <c r="AJ727" s="643">
        <v>0</v>
      </c>
    </row>
    <row r="728" spans="1:36" x14ac:dyDescent="0.2">
      <c r="A728" s="440" t="s">
        <v>114</v>
      </c>
      <c r="B728" s="642">
        <v>12</v>
      </c>
      <c r="C728" s="184">
        <v>0</v>
      </c>
      <c r="D728" s="184">
        <v>11</v>
      </c>
      <c r="E728" s="184">
        <v>0</v>
      </c>
      <c r="F728" s="184">
        <v>1</v>
      </c>
      <c r="G728" s="184">
        <v>0</v>
      </c>
      <c r="H728" s="184">
        <v>0</v>
      </c>
      <c r="I728" s="184">
        <v>0</v>
      </c>
      <c r="J728" s="184">
        <v>0</v>
      </c>
      <c r="K728" s="184">
        <v>0</v>
      </c>
      <c r="L728" s="184">
        <v>0</v>
      </c>
      <c r="M728" s="654" t="s">
        <v>24</v>
      </c>
      <c r="N728" s="588" t="s">
        <v>114</v>
      </c>
      <c r="O728" s="642">
        <v>0</v>
      </c>
      <c r="P728" s="184">
        <v>0</v>
      </c>
      <c r="Q728" s="184">
        <v>0</v>
      </c>
      <c r="R728" s="184">
        <v>0</v>
      </c>
      <c r="S728" s="184">
        <v>0</v>
      </c>
      <c r="T728" s="184">
        <v>1</v>
      </c>
      <c r="U728" s="184">
        <v>4</v>
      </c>
      <c r="V728" s="184">
        <v>5</v>
      </c>
      <c r="W728" s="184">
        <v>2</v>
      </c>
      <c r="X728" s="184">
        <v>0</v>
      </c>
      <c r="Y728" s="184">
        <v>0</v>
      </c>
      <c r="Z728" s="184">
        <v>0</v>
      </c>
      <c r="AA728" s="184">
        <v>0</v>
      </c>
      <c r="AB728" s="184">
        <v>0</v>
      </c>
      <c r="AC728" s="185">
        <v>40.6</v>
      </c>
      <c r="AD728" s="185">
        <v>45.6</v>
      </c>
      <c r="AE728" s="184">
        <v>0</v>
      </c>
      <c r="AF728" s="185">
        <v>0</v>
      </c>
      <c r="AG728" s="184">
        <v>0</v>
      </c>
      <c r="AH728" s="185">
        <v>0</v>
      </c>
      <c r="AI728" s="184">
        <v>0</v>
      </c>
      <c r="AJ728" s="643">
        <v>0</v>
      </c>
    </row>
    <row r="729" spans="1:36" x14ac:dyDescent="0.2">
      <c r="A729" s="440" t="s">
        <v>69</v>
      </c>
      <c r="B729" s="646">
        <v>7</v>
      </c>
      <c r="C729" s="186">
        <v>0</v>
      </c>
      <c r="D729" s="186">
        <v>6</v>
      </c>
      <c r="E729" s="186">
        <v>0</v>
      </c>
      <c r="F729" s="186">
        <v>1</v>
      </c>
      <c r="G729" s="186">
        <v>0</v>
      </c>
      <c r="H729" s="186">
        <v>0</v>
      </c>
      <c r="I729" s="186">
        <v>0</v>
      </c>
      <c r="J729" s="186">
        <v>0</v>
      </c>
      <c r="K729" s="186">
        <v>0</v>
      </c>
      <c r="L729" s="186">
        <v>0</v>
      </c>
      <c r="M729" s="656" t="s">
        <v>24</v>
      </c>
      <c r="N729" s="588" t="s">
        <v>69</v>
      </c>
      <c r="O729" s="646">
        <v>0</v>
      </c>
      <c r="P729" s="186">
        <v>0</v>
      </c>
      <c r="Q729" s="186">
        <v>0</v>
      </c>
      <c r="R729" s="186">
        <v>0</v>
      </c>
      <c r="S729" s="186">
        <v>0</v>
      </c>
      <c r="T729" s="186">
        <v>0</v>
      </c>
      <c r="U729" s="186">
        <v>1</v>
      </c>
      <c r="V729" s="186">
        <v>0</v>
      </c>
      <c r="W729" s="186">
        <v>3</v>
      </c>
      <c r="X729" s="186">
        <v>3</v>
      </c>
      <c r="Y729" s="186">
        <v>0</v>
      </c>
      <c r="Z729" s="186">
        <v>0</v>
      </c>
      <c r="AA729" s="186">
        <v>0</v>
      </c>
      <c r="AB729" s="186">
        <v>0</v>
      </c>
      <c r="AC729" s="187">
        <v>48.1</v>
      </c>
      <c r="AD729" s="187" t="s">
        <v>24</v>
      </c>
      <c r="AE729" s="186">
        <v>0</v>
      </c>
      <c r="AF729" s="187">
        <v>0</v>
      </c>
      <c r="AG729" s="186">
        <v>0</v>
      </c>
      <c r="AH729" s="187">
        <v>0</v>
      </c>
      <c r="AI729" s="186">
        <v>0</v>
      </c>
      <c r="AJ729" s="647">
        <v>0</v>
      </c>
    </row>
    <row r="730" spans="1:36" x14ac:dyDescent="0.2">
      <c r="A730" s="440" t="s">
        <v>115</v>
      </c>
      <c r="B730" s="642">
        <v>7</v>
      </c>
      <c r="C730" s="184">
        <v>1</v>
      </c>
      <c r="D730" s="184">
        <v>5</v>
      </c>
      <c r="E730" s="184">
        <v>0</v>
      </c>
      <c r="F730" s="184">
        <v>1</v>
      </c>
      <c r="G730" s="184">
        <v>0</v>
      </c>
      <c r="H730" s="184">
        <v>0</v>
      </c>
      <c r="I730" s="184">
        <v>0</v>
      </c>
      <c r="J730" s="184">
        <v>0</v>
      </c>
      <c r="K730" s="184">
        <v>0</v>
      </c>
      <c r="L730" s="184">
        <v>0</v>
      </c>
      <c r="M730" s="654" t="s">
        <v>24</v>
      </c>
      <c r="N730" s="588" t="s">
        <v>115</v>
      </c>
      <c r="O730" s="642">
        <v>0</v>
      </c>
      <c r="P730" s="184">
        <v>1</v>
      </c>
      <c r="Q730" s="184">
        <v>0</v>
      </c>
      <c r="R730" s="184">
        <v>0</v>
      </c>
      <c r="S730" s="184">
        <v>1</v>
      </c>
      <c r="T730" s="184">
        <v>0</v>
      </c>
      <c r="U730" s="184">
        <v>1</v>
      </c>
      <c r="V730" s="184">
        <v>1</v>
      </c>
      <c r="W730" s="184">
        <v>2</v>
      </c>
      <c r="X730" s="184">
        <v>1</v>
      </c>
      <c r="Y730" s="184">
        <v>0</v>
      </c>
      <c r="Z730" s="184">
        <v>0</v>
      </c>
      <c r="AA730" s="184">
        <v>0</v>
      </c>
      <c r="AB730" s="184">
        <v>0</v>
      </c>
      <c r="AC730" s="185">
        <v>37.9</v>
      </c>
      <c r="AD730" s="185" t="s">
        <v>24</v>
      </c>
      <c r="AE730" s="184">
        <v>0</v>
      </c>
      <c r="AF730" s="185">
        <v>0</v>
      </c>
      <c r="AG730" s="184">
        <v>0</v>
      </c>
      <c r="AH730" s="185">
        <v>0</v>
      </c>
      <c r="AI730" s="184">
        <v>0</v>
      </c>
      <c r="AJ730" s="643">
        <v>0</v>
      </c>
    </row>
    <row r="731" spans="1:36" x14ac:dyDescent="0.2">
      <c r="A731" s="440" t="s">
        <v>116</v>
      </c>
      <c r="B731" s="642">
        <v>10</v>
      </c>
      <c r="C731" s="184">
        <v>1</v>
      </c>
      <c r="D731" s="184">
        <v>7</v>
      </c>
      <c r="E731" s="184">
        <v>0</v>
      </c>
      <c r="F731" s="184">
        <v>2</v>
      </c>
      <c r="G731" s="184">
        <v>0</v>
      </c>
      <c r="H731" s="184">
        <v>0</v>
      </c>
      <c r="I731" s="184">
        <v>0</v>
      </c>
      <c r="J731" s="184">
        <v>0</v>
      </c>
      <c r="K731" s="184">
        <v>0</v>
      </c>
      <c r="L731" s="184">
        <v>0</v>
      </c>
      <c r="M731" s="654" t="s">
        <v>24</v>
      </c>
      <c r="N731" s="588" t="s">
        <v>116</v>
      </c>
      <c r="O731" s="642">
        <v>0</v>
      </c>
      <c r="P731" s="184">
        <v>1</v>
      </c>
      <c r="Q731" s="184">
        <v>0</v>
      </c>
      <c r="R731" s="184">
        <v>1</v>
      </c>
      <c r="S731" s="184">
        <v>0</v>
      </c>
      <c r="T731" s="184">
        <v>2</v>
      </c>
      <c r="U731" s="184">
        <v>1</v>
      </c>
      <c r="V731" s="184">
        <v>2</v>
      </c>
      <c r="W731" s="184">
        <v>0</v>
      </c>
      <c r="X731" s="184">
        <v>3</v>
      </c>
      <c r="Y731" s="184">
        <v>0</v>
      </c>
      <c r="Z731" s="184">
        <v>0</v>
      </c>
      <c r="AA731" s="184">
        <v>0</v>
      </c>
      <c r="AB731" s="184">
        <v>0</v>
      </c>
      <c r="AC731" s="185">
        <v>38.200000000000003</v>
      </c>
      <c r="AD731" s="185" t="s">
        <v>24</v>
      </c>
      <c r="AE731" s="184">
        <v>0</v>
      </c>
      <c r="AF731" s="185">
        <v>0</v>
      </c>
      <c r="AG731" s="184">
        <v>0</v>
      </c>
      <c r="AH731" s="185">
        <v>0</v>
      </c>
      <c r="AI731" s="184">
        <v>0</v>
      </c>
      <c r="AJ731" s="643">
        <v>0</v>
      </c>
    </row>
    <row r="732" spans="1:36" ht="13.5" thickBot="1" x14ac:dyDescent="0.25">
      <c r="A732" s="440" t="s">
        <v>117</v>
      </c>
      <c r="B732" s="644">
        <v>5</v>
      </c>
      <c r="C732" s="188">
        <v>0</v>
      </c>
      <c r="D732" s="188">
        <v>5</v>
      </c>
      <c r="E732" s="188">
        <v>0</v>
      </c>
      <c r="F732" s="188">
        <v>0</v>
      </c>
      <c r="G732" s="188">
        <v>0</v>
      </c>
      <c r="H732" s="188">
        <v>0</v>
      </c>
      <c r="I732" s="188">
        <v>0</v>
      </c>
      <c r="J732" s="188">
        <v>0</v>
      </c>
      <c r="K732" s="188">
        <v>0</v>
      </c>
      <c r="L732" s="188">
        <v>0</v>
      </c>
      <c r="M732" s="655" t="s">
        <v>24</v>
      </c>
      <c r="N732" s="588" t="s">
        <v>117</v>
      </c>
      <c r="O732" s="644">
        <v>0</v>
      </c>
      <c r="P732" s="188">
        <v>0</v>
      </c>
      <c r="Q732" s="188">
        <v>0</v>
      </c>
      <c r="R732" s="188">
        <v>0</v>
      </c>
      <c r="S732" s="188">
        <v>0</v>
      </c>
      <c r="T732" s="188">
        <v>1</v>
      </c>
      <c r="U732" s="188">
        <v>1</v>
      </c>
      <c r="V732" s="188">
        <v>2</v>
      </c>
      <c r="W732" s="188">
        <v>1</v>
      </c>
      <c r="X732" s="188">
        <v>0</v>
      </c>
      <c r="Y732" s="188">
        <v>0</v>
      </c>
      <c r="Z732" s="188">
        <v>0</v>
      </c>
      <c r="AA732" s="188">
        <v>0</v>
      </c>
      <c r="AB732" s="188">
        <v>0</v>
      </c>
      <c r="AC732" s="189">
        <v>39.5</v>
      </c>
      <c r="AD732" s="189" t="s">
        <v>24</v>
      </c>
      <c r="AE732" s="188">
        <v>0</v>
      </c>
      <c r="AF732" s="189">
        <v>0</v>
      </c>
      <c r="AG732" s="188">
        <v>0</v>
      </c>
      <c r="AH732" s="189">
        <v>0</v>
      </c>
      <c r="AI732" s="188">
        <v>0</v>
      </c>
      <c r="AJ732" s="645">
        <v>0</v>
      </c>
    </row>
    <row r="733" spans="1:36" x14ac:dyDescent="0.2">
      <c r="A733" s="440" t="s">
        <v>71</v>
      </c>
      <c r="B733" s="642">
        <v>10</v>
      </c>
      <c r="C733" s="184">
        <v>0</v>
      </c>
      <c r="D733" s="184">
        <v>10</v>
      </c>
      <c r="E733" s="184">
        <v>0</v>
      </c>
      <c r="F733" s="184">
        <v>0</v>
      </c>
      <c r="G733" s="184">
        <v>0</v>
      </c>
      <c r="H733" s="184">
        <v>0</v>
      </c>
      <c r="I733" s="184">
        <v>0</v>
      </c>
      <c r="J733" s="184">
        <v>0</v>
      </c>
      <c r="K733" s="184">
        <v>0</v>
      </c>
      <c r="L733" s="184">
        <v>0</v>
      </c>
      <c r="M733" s="654" t="s">
        <v>24</v>
      </c>
      <c r="N733" s="588" t="s">
        <v>71</v>
      </c>
      <c r="O733" s="642">
        <v>0</v>
      </c>
      <c r="P733" s="184">
        <v>0</v>
      </c>
      <c r="Q733" s="184">
        <v>0</v>
      </c>
      <c r="R733" s="184">
        <v>0</v>
      </c>
      <c r="S733" s="184">
        <v>0</v>
      </c>
      <c r="T733" s="184">
        <v>0</v>
      </c>
      <c r="U733" s="184">
        <v>4</v>
      </c>
      <c r="V733" s="184">
        <v>3</v>
      </c>
      <c r="W733" s="184">
        <v>2</v>
      </c>
      <c r="X733" s="184">
        <v>1</v>
      </c>
      <c r="Y733" s="184">
        <v>0</v>
      </c>
      <c r="Z733" s="184">
        <v>0</v>
      </c>
      <c r="AA733" s="184">
        <v>0</v>
      </c>
      <c r="AB733" s="184">
        <v>0</v>
      </c>
      <c r="AC733" s="185">
        <v>42</v>
      </c>
      <c r="AD733" s="185" t="s">
        <v>24</v>
      </c>
      <c r="AE733" s="184">
        <v>0</v>
      </c>
      <c r="AF733" s="185">
        <v>0</v>
      </c>
      <c r="AG733" s="184">
        <v>0</v>
      </c>
      <c r="AH733" s="185">
        <v>0</v>
      </c>
      <c r="AI733" s="184">
        <v>0</v>
      </c>
      <c r="AJ733" s="643">
        <v>0</v>
      </c>
    </row>
    <row r="734" spans="1:36" x14ac:dyDescent="0.2">
      <c r="A734" s="440" t="s">
        <v>118</v>
      </c>
      <c r="B734" s="642">
        <v>6</v>
      </c>
      <c r="C734" s="184">
        <v>0</v>
      </c>
      <c r="D734" s="184">
        <v>5</v>
      </c>
      <c r="E734" s="184">
        <v>0</v>
      </c>
      <c r="F734" s="184">
        <v>1</v>
      </c>
      <c r="G734" s="184">
        <v>0</v>
      </c>
      <c r="H734" s="184">
        <v>0</v>
      </c>
      <c r="I734" s="184">
        <v>0</v>
      </c>
      <c r="J734" s="184">
        <v>0</v>
      </c>
      <c r="K734" s="184">
        <v>0</v>
      </c>
      <c r="L734" s="184">
        <v>0</v>
      </c>
      <c r="M734" s="654" t="s">
        <v>24</v>
      </c>
      <c r="N734" s="588" t="s">
        <v>118</v>
      </c>
      <c r="O734" s="642">
        <v>0</v>
      </c>
      <c r="P734" s="184">
        <v>0</v>
      </c>
      <c r="Q734" s="184">
        <v>0</v>
      </c>
      <c r="R734" s="184">
        <v>0</v>
      </c>
      <c r="S734" s="184">
        <v>0</v>
      </c>
      <c r="T734" s="184">
        <v>1</v>
      </c>
      <c r="U734" s="184">
        <v>4</v>
      </c>
      <c r="V734" s="184">
        <v>0</v>
      </c>
      <c r="W734" s="184">
        <v>1</v>
      </c>
      <c r="X734" s="184">
        <v>0</v>
      </c>
      <c r="Y734" s="184">
        <v>0</v>
      </c>
      <c r="Z734" s="184">
        <v>0</v>
      </c>
      <c r="AA734" s="184">
        <v>0</v>
      </c>
      <c r="AB734" s="184">
        <v>0</v>
      </c>
      <c r="AC734" s="185">
        <v>38.6</v>
      </c>
      <c r="AD734" s="185" t="s">
        <v>24</v>
      </c>
      <c r="AE734" s="184">
        <v>0</v>
      </c>
      <c r="AF734" s="185">
        <v>0</v>
      </c>
      <c r="AG734" s="184">
        <v>0</v>
      </c>
      <c r="AH734" s="185">
        <v>0</v>
      </c>
      <c r="AI734" s="184">
        <v>0</v>
      </c>
      <c r="AJ734" s="643">
        <v>0</v>
      </c>
    </row>
    <row r="735" spans="1:36" x14ac:dyDescent="0.2">
      <c r="A735" s="440" t="s">
        <v>119</v>
      </c>
      <c r="B735" s="642">
        <v>5</v>
      </c>
      <c r="C735" s="184">
        <v>1</v>
      </c>
      <c r="D735" s="184">
        <v>4</v>
      </c>
      <c r="E735" s="184">
        <v>0</v>
      </c>
      <c r="F735" s="184">
        <v>0</v>
      </c>
      <c r="G735" s="184">
        <v>0</v>
      </c>
      <c r="H735" s="184">
        <v>0</v>
      </c>
      <c r="I735" s="184">
        <v>0</v>
      </c>
      <c r="J735" s="184">
        <v>0</v>
      </c>
      <c r="K735" s="184">
        <v>0</v>
      </c>
      <c r="L735" s="184">
        <v>0</v>
      </c>
      <c r="M735" s="654" t="s">
        <v>24</v>
      </c>
      <c r="N735" s="588" t="s">
        <v>119</v>
      </c>
      <c r="O735" s="642">
        <v>0</v>
      </c>
      <c r="P735" s="184">
        <v>1</v>
      </c>
      <c r="Q735" s="184">
        <v>0</v>
      </c>
      <c r="R735" s="184">
        <v>0</v>
      </c>
      <c r="S735" s="184">
        <v>0</v>
      </c>
      <c r="T735" s="184">
        <v>1</v>
      </c>
      <c r="U735" s="184">
        <v>1</v>
      </c>
      <c r="V735" s="184">
        <v>1</v>
      </c>
      <c r="W735" s="184">
        <v>1</v>
      </c>
      <c r="X735" s="184">
        <v>0</v>
      </c>
      <c r="Y735" s="184">
        <v>0</v>
      </c>
      <c r="Z735" s="184">
        <v>0</v>
      </c>
      <c r="AA735" s="184">
        <v>0</v>
      </c>
      <c r="AB735" s="184">
        <v>0</v>
      </c>
      <c r="AC735" s="185">
        <v>33.9</v>
      </c>
      <c r="AD735" s="185" t="s">
        <v>24</v>
      </c>
      <c r="AE735" s="184">
        <v>0</v>
      </c>
      <c r="AF735" s="185">
        <v>0</v>
      </c>
      <c r="AG735" s="184">
        <v>0</v>
      </c>
      <c r="AH735" s="185">
        <v>0</v>
      </c>
      <c r="AI735" s="184">
        <v>0</v>
      </c>
      <c r="AJ735" s="643">
        <v>0</v>
      </c>
    </row>
    <row r="736" spans="1:36" x14ac:dyDescent="0.2">
      <c r="A736" s="440" t="s">
        <v>120</v>
      </c>
      <c r="B736" s="642">
        <v>6</v>
      </c>
      <c r="C736" s="184">
        <v>0</v>
      </c>
      <c r="D736" s="184">
        <v>3</v>
      </c>
      <c r="E736" s="184">
        <v>2</v>
      </c>
      <c r="F736" s="184">
        <v>1</v>
      </c>
      <c r="G736" s="184">
        <v>0</v>
      </c>
      <c r="H736" s="184">
        <v>0</v>
      </c>
      <c r="I736" s="184">
        <v>0</v>
      </c>
      <c r="J736" s="184">
        <v>0</v>
      </c>
      <c r="K736" s="184">
        <v>0</v>
      </c>
      <c r="L736" s="184">
        <v>0</v>
      </c>
      <c r="M736" s="654" t="s">
        <v>24</v>
      </c>
      <c r="N736" s="588" t="s">
        <v>120</v>
      </c>
      <c r="O736" s="642">
        <v>0</v>
      </c>
      <c r="P736" s="184">
        <v>0</v>
      </c>
      <c r="Q736" s="184">
        <v>0</v>
      </c>
      <c r="R736" s="184">
        <v>0</v>
      </c>
      <c r="S736" s="184">
        <v>0</v>
      </c>
      <c r="T736" s="184">
        <v>2</v>
      </c>
      <c r="U736" s="184">
        <v>2</v>
      </c>
      <c r="V736" s="184">
        <v>1</v>
      </c>
      <c r="W736" s="184">
        <v>1</v>
      </c>
      <c r="X736" s="184">
        <v>0</v>
      </c>
      <c r="Y736" s="184">
        <v>0</v>
      </c>
      <c r="Z736" s="184">
        <v>0</v>
      </c>
      <c r="AA736" s="184">
        <v>0</v>
      </c>
      <c r="AB736" s="184">
        <v>0</v>
      </c>
      <c r="AC736" s="185">
        <v>38.4</v>
      </c>
      <c r="AD736" s="185" t="s">
        <v>24</v>
      </c>
      <c r="AE736" s="184">
        <v>0</v>
      </c>
      <c r="AF736" s="185">
        <v>0</v>
      </c>
      <c r="AG736" s="184">
        <v>0</v>
      </c>
      <c r="AH736" s="185">
        <v>0</v>
      </c>
      <c r="AI736" s="184">
        <v>0</v>
      </c>
      <c r="AJ736" s="643">
        <v>0</v>
      </c>
    </row>
    <row r="737" spans="1:36" x14ac:dyDescent="0.2">
      <c r="A737" s="440" t="s">
        <v>72</v>
      </c>
      <c r="B737" s="642">
        <v>7</v>
      </c>
      <c r="C737" s="184">
        <v>0</v>
      </c>
      <c r="D737" s="184">
        <v>6</v>
      </c>
      <c r="E737" s="184">
        <v>0</v>
      </c>
      <c r="F737" s="184">
        <v>1</v>
      </c>
      <c r="G737" s="184">
        <v>0</v>
      </c>
      <c r="H737" s="184">
        <v>0</v>
      </c>
      <c r="I737" s="184">
        <v>0</v>
      </c>
      <c r="J737" s="184">
        <v>0</v>
      </c>
      <c r="K737" s="184">
        <v>0</v>
      </c>
      <c r="L737" s="184">
        <v>0</v>
      </c>
      <c r="M737" s="654" t="s">
        <v>24</v>
      </c>
      <c r="N737" s="588" t="s">
        <v>72</v>
      </c>
      <c r="O737" s="642">
        <v>0</v>
      </c>
      <c r="P737" s="184">
        <v>0</v>
      </c>
      <c r="Q737" s="184">
        <v>0</v>
      </c>
      <c r="R737" s="184">
        <v>0</v>
      </c>
      <c r="S737" s="184">
        <v>1</v>
      </c>
      <c r="T737" s="184">
        <v>0</v>
      </c>
      <c r="U737" s="184">
        <v>3</v>
      </c>
      <c r="V737" s="184">
        <v>1</v>
      </c>
      <c r="W737" s="184">
        <v>2</v>
      </c>
      <c r="X737" s="184">
        <v>0</v>
      </c>
      <c r="Y737" s="184">
        <v>0</v>
      </c>
      <c r="Z737" s="184">
        <v>0</v>
      </c>
      <c r="AA737" s="184">
        <v>0</v>
      </c>
      <c r="AB737" s="184">
        <v>0</v>
      </c>
      <c r="AC737" s="185">
        <v>39.5</v>
      </c>
      <c r="AD737" s="185" t="s">
        <v>24</v>
      </c>
      <c r="AE737" s="184">
        <v>0</v>
      </c>
      <c r="AF737" s="185">
        <v>0</v>
      </c>
      <c r="AG737" s="184">
        <v>0</v>
      </c>
      <c r="AH737" s="185">
        <v>0</v>
      </c>
      <c r="AI737" s="184">
        <v>0</v>
      </c>
      <c r="AJ737" s="643">
        <v>0</v>
      </c>
    </row>
    <row r="738" spans="1:36" x14ac:dyDescent="0.2">
      <c r="A738" s="440" t="s">
        <v>121</v>
      </c>
      <c r="B738" s="642">
        <v>4</v>
      </c>
      <c r="C738" s="184">
        <v>0</v>
      </c>
      <c r="D738" s="184">
        <v>4</v>
      </c>
      <c r="E738" s="184">
        <v>0</v>
      </c>
      <c r="F738" s="184">
        <v>0</v>
      </c>
      <c r="G738" s="184">
        <v>0</v>
      </c>
      <c r="H738" s="184">
        <v>0</v>
      </c>
      <c r="I738" s="184">
        <v>0</v>
      </c>
      <c r="J738" s="184">
        <v>0</v>
      </c>
      <c r="K738" s="184">
        <v>0</v>
      </c>
      <c r="L738" s="184">
        <v>0</v>
      </c>
      <c r="M738" s="654" t="s">
        <v>24</v>
      </c>
      <c r="N738" s="588" t="s">
        <v>121</v>
      </c>
      <c r="O738" s="642">
        <v>0</v>
      </c>
      <c r="P738" s="184">
        <v>0</v>
      </c>
      <c r="Q738" s="184">
        <v>0</v>
      </c>
      <c r="R738" s="184">
        <v>0</v>
      </c>
      <c r="S738" s="184">
        <v>0</v>
      </c>
      <c r="T738" s="184">
        <v>0</v>
      </c>
      <c r="U738" s="184">
        <v>0</v>
      </c>
      <c r="V738" s="184">
        <v>2</v>
      </c>
      <c r="W738" s="184">
        <v>0</v>
      </c>
      <c r="X738" s="184">
        <v>2</v>
      </c>
      <c r="Y738" s="184">
        <v>0</v>
      </c>
      <c r="Z738" s="184">
        <v>0</v>
      </c>
      <c r="AA738" s="184">
        <v>0</v>
      </c>
      <c r="AB738" s="184">
        <v>0</v>
      </c>
      <c r="AC738" s="185">
        <v>49.8</v>
      </c>
      <c r="AD738" s="185" t="s">
        <v>24</v>
      </c>
      <c r="AE738" s="184">
        <v>0</v>
      </c>
      <c r="AF738" s="185">
        <v>0</v>
      </c>
      <c r="AG738" s="184">
        <v>0</v>
      </c>
      <c r="AH738" s="185">
        <v>0</v>
      </c>
      <c r="AI738" s="184">
        <v>0</v>
      </c>
      <c r="AJ738" s="643">
        <v>0</v>
      </c>
    </row>
    <row r="739" spans="1:36" x14ac:dyDescent="0.2">
      <c r="A739" s="440" t="s">
        <v>122</v>
      </c>
      <c r="B739" s="642">
        <v>3</v>
      </c>
      <c r="C739" s="184">
        <v>0</v>
      </c>
      <c r="D739" s="184">
        <v>3</v>
      </c>
      <c r="E739" s="184">
        <v>0</v>
      </c>
      <c r="F739" s="184">
        <v>0</v>
      </c>
      <c r="G739" s="184">
        <v>0</v>
      </c>
      <c r="H739" s="184">
        <v>0</v>
      </c>
      <c r="I739" s="184">
        <v>0</v>
      </c>
      <c r="J739" s="184">
        <v>0</v>
      </c>
      <c r="K739" s="184">
        <v>0</v>
      </c>
      <c r="L739" s="184">
        <v>0</v>
      </c>
      <c r="M739" s="654" t="s">
        <v>24</v>
      </c>
      <c r="N739" s="588" t="s">
        <v>122</v>
      </c>
      <c r="O739" s="642">
        <v>0</v>
      </c>
      <c r="P739" s="184">
        <v>0</v>
      </c>
      <c r="Q739" s="184">
        <v>0</v>
      </c>
      <c r="R739" s="184">
        <v>0</v>
      </c>
      <c r="S739" s="184">
        <v>1</v>
      </c>
      <c r="T739" s="184">
        <v>1</v>
      </c>
      <c r="U739" s="184">
        <v>0</v>
      </c>
      <c r="V739" s="184">
        <v>0</v>
      </c>
      <c r="W739" s="184">
        <v>1</v>
      </c>
      <c r="X739" s="184">
        <v>0</v>
      </c>
      <c r="Y739" s="184">
        <v>0</v>
      </c>
      <c r="Z739" s="184">
        <v>0</v>
      </c>
      <c r="AA739" s="184">
        <v>0</v>
      </c>
      <c r="AB739" s="184">
        <v>0</v>
      </c>
      <c r="AC739" s="185">
        <v>37.1</v>
      </c>
      <c r="AD739" s="185" t="s">
        <v>24</v>
      </c>
      <c r="AE739" s="184">
        <v>0</v>
      </c>
      <c r="AF739" s="185">
        <v>0</v>
      </c>
      <c r="AG739" s="184">
        <v>0</v>
      </c>
      <c r="AH739" s="185">
        <v>0</v>
      </c>
      <c r="AI739" s="184">
        <v>0</v>
      </c>
      <c r="AJ739" s="643">
        <v>0</v>
      </c>
    </row>
    <row r="740" spans="1:36" x14ac:dyDescent="0.2">
      <c r="A740" s="440" t="s">
        <v>123</v>
      </c>
      <c r="B740" s="642">
        <v>1</v>
      </c>
      <c r="C740" s="184">
        <v>0</v>
      </c>
      <c r="D740" s="184">
        <v>1</v>
      </c>
      <c r="E740" s="184">
        <v>0</v>
      </c>
      <c r="F740" s="184">
        <v>0</v>
      </c>
      <c r="G740" s="184">
        <v>0</v>
      </c>
      <c r="H740" s="184">
        <v>0</v>
      </c>
      <c r="I740" s="184">
        <v>0</v>
      </c>
      <c r="J740" s="184">
        <v>0</v>
      </c>
      <c r="K740" s="184">
        <v>0</v>
      </c>
      <c r="L740" s="184">
        <v>0</v>
      </c>
      <c r="M740" s="654" t="s">
        <v>24</v>
      </c>
      <c r="N740" s="588" t="s">
        <v>123</v>
      </c>
      <c r="O740" s="642">
        <v>0</v>
      </c>
      <c r="P740" s="184">
        <v>0</v>
      </c>
      <c r="Q740" s="184">
        <v>0</v>
      </c>
      <c r="R740" s="184">
        <v>0</v>
      </c>
      <c r="S740" s="184">
        <v>1</v>
      </c>
      <c r="T740" s="184">
        <v>0</v>
      </c>
      <c r="U740" s="184">
        <v>0</v>
      </c>
      <c r="V740" s="184">
        <v>0</v>
      </c>
      <c r="W740" s="184">
        <v>0</v>
      </c>
      <c r="X740" s="184">
        <v>0</v>
      </c>
      <c r="Y740" s="184">
        <v>0</v>
      </c>
      <c r="Z740" s="184">
        <v>0</v>
      </c>
      <c r="AA740" s="184">
        <v>0</v>
      </c>
      <c r="AB740" s="184">
        <v>0</v>
      </c>
      <c r="AC740" s="185">
        <v>26.1</v>
      </c>
      <c r="AD740" s="185" t="s">
        <v>24</v>
      </c>
      <c r="AE740" s="184">
        <v>0</v>
      </c>
      <c r="AF740" s="185">
        <v>0</v>
      </c>
      <c r="AG740" s="184">
        <v>0</v>
      </c>
      <c r="AH740" s="185">
        <v>0</v>
      </c>
      <c r="AI740" s="184">
        <v>0</v>
      </c>
      <c r="AJ740" s="643">
        <v>0</v>
      </c>
    </row>
    <row r="741" spans="1:36" x14ac:dyDescent="0.2">
      <c r="A741" s="440" t="s">
        <v>74</v>
      </c>
      <c r="B741" s="642">
        <v>2</v>
      </c>
      <c r="C741" s="184">
        <v>0</v>
      </c>
      <c r="D741" s="184">
        <v>2</v>
      </c>
      <c r="E741" s="184">
        <v>0</v>
      </c>
      <c r="F741" s="184">
        <v>0</v>
      </c>
      <c r="G741" s="184">
        <v>0</v>
      </c>
      <c r="H741" s="184">
        <v>0</v>
      </c>
      <c r="I741" s="184">
        <v>0</v>
      </c>
      <c r="J741" s="184">
        <v>0</v>
      </c>
      <c r="K741" s="184">
        <v>0</v>
      </c>
      <c r="L741" s="184">
        <v>0</v>
      </c>
      <c r="M741" s="654" t="s">
        <v>24</v>
      </c>
      <c r="N741" s="588" t="s">
        <v>74</v>
      </c>
      <c r="O741" s="642">
        <v>0</v>
      </c>
      <c r="P741" s="184">
        <v>0</v>
      </c>
      <c r="Q741" s="184">
        <v>0</v>
      </c>
      <c r="R741" s="184">
        <v>0</v>
      </c>
      <c r="S741" s="184">
        <v>0</v>
      </c>
      <c r="T741" s="184">
        <v>0</v>
      </c>
      <c r="U741" s="184">
        <v>0</v>
      </c>
      <c r="V741" s="184">
        <v>1</v>
      </c>
      <c r="W741" s="184">
        <v>1</v>
      </c>
      <c r="X741" s="184">
        <v>0</v>
      </c>
      <c r="Y741" s="184">
        <v>0</v>
      </c>
      <c r="Z741" s="184">
        <v>0</v>
      </c>
      <c r="AA741" s="184">
        <v>0</v>
      </c>
      <c r="AB741" s="184">
        <v>0</v>
      </c>
      <c r="AC741" s="185">
        <v>44.3</v>
      </c>
      <c r="AD741" s="185" t="s">
        <v>24</v>
      </c>
      <c r="AE741" s="184">
        <v>0</v>
      </c>
      <c r="AF741" s="185">
        <v>0</v>
      </c>
      <c r="AG741" s="184">
        <v>0</v>
      </c>
      <c r="AH741" s="185">
        <v>0</v>
      </c>
      <c r="AI741" s="184">
        <v>0</v>
      </c>
      <c r="AJ741" s="643">
        <v>0</v>
      </c>
    </row>
    <row r="742" spans="1:36" x14ac:dyDescent="0.2">
      <c r="A742" s="440" t="s">
        <v>124</v>
      </c>
      <c r="B742" s="642">
        <v>4</v>
      </c>
      <c r="C742" s="184">
        <v>0</v>
      </c>
      <c r="D742" s="184">
        <v>4</v>
      </c>
      <c r="E742" s="184">
        <v>0</v>
      </c>
      <c r="F742" s="184">
        <v>0</v>
      </c>
      <c r="G742" s="184">
        <v>0</v>
      </c>
      <c r="H742" s="184">
        <v>0</v>
      </c>
      <c r="I742" s="184">
        <v>0</v>
      </c>
      <c r="J742" s="184">
        <v>0</v>
      </c>
      <c r="K742" s="184">
        <v>0</v>
      </c>
      <c r="L742" s="184">
        <v>0</v>
      </c>
      <c r="M742" s="654" t="s">
        <v>24</v>
      </c>
      <c r="N742" s="588" t="s">
        <v>124</v>
      </c>
      <c r="O742" s="642">
        <v>0</v>
      </c>
      <c r="P742" s="184">
        <v>0</v>
      </c>
      <c r="Q742" s="184">
        <v>0</v>
      </c>
      <c r="R742" s="184">
        <v>0</v>
      </c>
      <c r="S742" s="184">
        <v>0</v>
      </c>
      <c r="T742" s="184">
        <v>1</v>
      </c>
      <c r="U742" s="184">
        <v>0</v>
      </c>
      <c r="V742" s="184">
        <v>1</v>
      </c>
      <c r="W742" s="184">
        <v>1</v>
      </c>
      <c r="X742" s="184">
        <v>1</v>
      </c>
      <c r="Y742" s="184">
        <v>0</v>
      </c>
      <c r="Z742" s="184">
        <v>0</v>
      </c>
      <c r="AA742" s="184">
        <v>0</v>
      </c>
      <c r="AB742" s="184">
        <v>0</v>
      </c>
      <c r="AC742" s="185">
        <v>44</v>
      </c>
      <c r="AD742" s="185" t="s">
        <v>24</v>
      </c>
      <c r="AE742" s="184">
        <v>0</v>
      </c>
      <c r="AF742" s="185">
        <v>0</v>
      </c>
      <c r="AG742" s="184">
        <v>0</v>
      </c>
      <c r="AH742" s="185">
        <v>0</v>
      </c>
      <c r="AI742" s="184">
        <v>0</v>
      </c>
      <c r="AJ742" s="643">
        <v>0</v>
      </c>
    </row>
    <row r="743" spans="1:36" x14ac:dyDescent="0.2">
      <c r="A743" s="440" t="s">
        <v>125</v>
      </c>
      <c r="B743" s="642">
        <v>0</v>
      </c>
      <c r="C743" s="184">
        <v>0</v>
      </c>
      <c r="D743" s="184">
        <v>0</v>
      </c>
      <c r="E743" s="184">
        <v>0</v>
      </c>
      <c r="F743" s="184">
        <v>0</v>
      </c>
      <c r="G743" s="184">
        <v>0</v>
      </c>
      <c r="H743" s="184">
        <v>0</v>
      </c>
      <c r="I743" s="184">
        <v>0</v>
      </c>
      <c r="J743" s="184">
        <v>0</v>
      </c>
      <c r="K743" s="184">
        <v>0</v>
      </c>
      <c r="L743" s="184">
        <v>0</v>
      </c>
      <c r="M743" s="654" t="s">
        <v>24</v>
      </c>
      <c r="N743" s="588" t="s">
        <v>125</v>
      </c>
      <c r="O743" s="642">
        <v>0</v>
      </c>
      <c r="P743" s="184">
        <v>0</v>
      </c>
      <c r="Q743" s="184">
        <v>0</v>
      </c>
      <c r="R743" s="184">
        <v>0</v>
      </c>
      <c r="S743" s="184">
        <v>0</v>
      </c>
      <c r="T743" s="184">
        <v>0</v>
      </c>
      <c r="U743" s="184">
        <v>0</v>
      </c>
      <c r="V743" s="184">
        <v>0</v>
      </c>
      <c r="W743" s="184">
        <v>0</v>
      </c>
      <c r="X743" s="184">
        <v>0</v>
      </c>
      <c r="Y743" s="184">
        <v>0</v>
      </c>
      <c r="Z743" s="184">
        <v>0</v>
      </c>
      <c r="AA743" s="184">
        <v>0</v>
      </c>
      <c r="AB743" s="184">
        <v>0</v>
      </c>
      <c r="AC743" s="185" t="s">
        <v>24</v>
      </c>
      <c r="AD743" s="185" t="s">
        <v>24</v>
      </c>
      <c r="AE743" s="184">
        <v>0</v>
      </c>
      <c r="AF743" s="185">
        <v>0</v>
      </c>
      <c r="AG743" s="184">
        <v>0</v>
      </c>
      <c r="AH743" s="185">
        <v>0</v>
      </c>
      <c r="AI743" s="184">
        <v>0</v>
      </c>
      <c r="AJ743" s="643">
        <v>0</v>
      </c>
    </row>
    <row r="744" spans="1:36" x14ac:dyDescent="0.2">
      <c r="A744" s="440" t="s">
        <v>126</v>
      </c>
      <c r="B744" s="642">
        <v>3</v>
      </c>
      <c r="C744" s="184">
        <v>0</v>
      </c>
      <c r="D744" s="184">
        <v>3</v>
      </c>
      <c r="E744" s="184">
        <v>0</v>
      </c>
      <c r="F744" s="184">
        <v>0</v>
      </c>
      <c r="G744" s="184">
        <v>0</v>
      </c>
      <c r="H744" s="184">
        <v>0</v>
      </c>
      <c r="I744" s="184">
        <v>0</v>
      </c>
      <c r="J744" s="184">
        <v>0</v>
      </c>
      <c r="K744" s="184">
        <v>0</v>
      </c>
      <c r="L744" s="184">
        <v>0</v>
      </c>
      <c r="M744" s="654" t="s">
        <v>24</v>
      </c>
      <c r="N744" s="588" t="s">
        <v>126</v>
      </c>
      <c r="O744" s="642">
        <v>0</v>
      </c>
      <c r="P744" s="184">
        <v>0</v>
      </c>
      <c r="Q744" s="184">
        <v>0</v>
      </c>
      <c r="R744" s="184">
        <v>0</v>
      </c>
      <c r="S744" s="184">
        <v>0</v>
      </c>
      <c r="T744" s="184">
        <v>0</v>
      </c>
      <c r="U744" s="184">
        <v>3</v>
      </c>
      <c r="V744" s="184">
        <v>0</v>
      </c>
      <c r="W744" s="184">
        <v>0</v>
      </c>
      <c r="X744" s="184">
        <v>0</v>
      </c>
      <c r="Y744" s="184">
        <v>0</v>
      </c>
      <c r="Z744" s="184">
        <v>0</v>
      </c>
      <c r="AA744" s="184">
        <v>0</v>
      </c>
      <c r="AB744" s="184">
        <v>0</v>
      </c>
      <c r="AC744" s="185">
        <v>37.4</v>
      </c>
      <c r="AD744" s="185" t="s">
        <v>24</v>
      </c>
      <c r="AE744" s="184">
        <v>0</v>
      </c>
      <c r="AF744" s="185">
        <v>0</v>
      </c>
      <c r="AG744" s="184">
        <v>0</v>
      </c>
      <c r="AH744" s="185">
        <v>0</v>
      </c>
      <c r="AI744" s="184">
        <v>0</v>
      </c>
      <c r="AJ744" s="643">
        <v>0</v>
      </c>
    </row>
    <row r="745" spans="1:36" x14ac:dyDescent="0.2">
      <c r="A745" s="440" t="s">
        <v>76</v>
      </c>
      <c r="B745" s="642">
        <v>2</v>
      </c>
      <c r="C745" s="184">
        <v>0</v>
      </c>
      <c r="D745" s="184">
        <v>2</v>
      </c>
      <c r="E745" s="184">
        <v>0</v>
      </c>
      <c r="F745" s="184">
        <v>0</v>
      </c>
      <c r="G745" s="184">
        <v>0</v>
      </c>
      <c r="H745" s="184">
        <v>0</v>
      </c>
      <c r="I745" s="184">
        <v>0</v>
      </c>
      <c r="J745" s="184">
        <v>0</v>
      </c>
      <c r="K745" s="184">
        <v>0</v>
      </c>
      <c r="L745" s="184">
        <v>0</v>
      </c>
      <c r="M745" s="654" t="s">
        <v>24</v>
      </c>
      <c r="N745" s="588" t="s">
        <v>76</v>
      </c>
      <c r="O745" s="642">
        <v>0</v>
      </c>
      <c r="P745" s="184">
        <v>0</v>
      </c>
      <c r="Q745" s="184">
        <v>0</v>
      </c>
      <c r="R745" s="184">
        <v>0</v>
      </c>
      <c r="S745" s="184">
        <v>0</v>
      </c>
      <c r="T745" s="184">
        <v>1</v>
      </c>
      <c r="U745" s="184">
        <v>0</v>
      </c>
      <c r="V745" s="184">
        <v>1</v>
      </c>
      <c r="W745" s="184">
        <v>0</v>
      </c>
      <c r="X745" s="184">
        <v>0</v>
      </c>
      <c r="Y745" s="184">
        <v>0</v>
      </c>
      <c r="Z745" s="184">
        <v>0</v>
      </c>
      <c r="AA745" s="184">
        <v>0</v>
      </c>
      <c r="AB745" s="184">
        <v>0</v>
      </c>
      <c r="AC745" s="185">
        <v>39.5</v>
      </c>
      <c r="AD745" s="185" t="s">
        <v>24</v>
      </c>
      <c r="AE745" s="184">
        <v>0</v>
      </c>
      <c r="AF745" s="185">
        <v>0</v>
      </c>
      <c r="AG745" s="184">
        <v>0</v>
      </c>
      <c r="AH745" s="185">
        <v>0</v>
      </c>
      <c r="AI745" s="184">
        <v>0</v>
      </c>
      <c r="AJ745" s="643">
        <v>0</v>
      </c>
    </row>
    <row r="746" spans="1:36" x14ac:dyDescent="0.2">
      <c r="A746" s="440" t="s">
        <v>127</v>
      </c>
      <c r="B746" s="642">
        <v>1</v>
      </c>
      <c r="C746" s="184">
        <v>0</v>
      </c>
      <c r="D746" s="184">
        <v>1</v>
      </c>
      <c r="E746" s="184">
        <v>0</v>
      </c>
      <c r="F746" s="184">
        <v>0</v>
      </c>
      <c r="G746" s="184">
        <v>0</v>
      </c>
      <c r="H746" s="184">
        <v>0</v>
      </c>
      <c r="I746" s="184">
        <v>0</v>
      </c>
      <c r="J746" s="184">
        <v>0</v>
      </c>
      <c r="K746" s="184">
        <v>0</v>
      </c>
      <c r="L746" s="184">
        <v>0</v>
      </c>
      <c r="M746" s="654" t="s">
        <v>24</v>
      </c>
      <c r="N746" s="588" t="s">
        <v>127</v>
      </c>
      <c r="O746" s="642">
        <v>0</v>
      </c>
      <c r="P746" s="184">
        <v>0</v>
      </c>
      <c r="Q746" s="184">
        <v>0</v>
      </c>
      <c r="R746" s="184">
        <v>0</v>
      </c>
      <c r="S746" s="184">
        <v>0</v>
      </c>
      <c r="T746" s="184">
        <v>0</v>
      </c>
      <c r="U746" s="184">
        <v>1</v>
      </c>
      <c r="V746" s="184">
        <v>0</v>
      </c>
      <c r="W746" s="184">
        <v>0</v>
      </c>
      <c r="X746" s="184">
        <v>0</v>
      </c>
      <c r="Y746" s="184">
        <v>0</v>
      </c>
      <c r="Z746" s="184">
        <v>0</v>
      </c>
      <c r="AA746" s="184">
        <v>0</v>
      </c>
      <c r="AB746" s="184">
        <v>0</v>
      </c>
      <c r="AC746" s="185">
        <v>36.4</v>
      </c>
      <c r="AD746" s="185" t="s">
        <v>24</v>
      </c>
      <c r="AE746" s="184">
        <v>0</v>
      </c>
      <c r="AF746" s="185">
        <v>0</v>
      </c>
      <c r="AG746" s="184">
        <v>0</v>
      </c>
      <c r="AH746" s="185">
        <v>0</v>
      </c>
      <c r="AI746" s="184">
        <v>0</v>
      </c>
      <c r="AJ746" s="643">
        <v>0</v>
      </c>
    </row>
    <row r="747" spans="1:36" x14ac:dyDescent="0.2">
      <c r="A747" s="440" t="s">
        <v>128</v>
      </c>
      <c r="B747" s="642">
        <v>6</v>
      </c>
      <c r="C747" s="184">
        <v>0</v>
      </c>
      <c r="D747" s="184">
        <v>6</v>
      </c>
      <c r="E747" s="184">
        <v>0</v>
      </c>
      <c r="F747" s="184">
        <v>0</v>
      </c>
      <c r="G747" s="184">
        <v>0</v>
      </c>
      <c r="H747" s="184">
        <v>0</v>
      </c>
      <c r="I747" s="184">
        <v>0</v>
      </c>
      <c r="J747" s="184">
        <v>0</v>
      </c>
      <c r="K747" s="184">
        <v>0</v>
      </c>
      <c r="L747" s="184">
        <v>0</v>
      </c>
      <c r="M747" s="654" t="s">
        <v>24</v>
      </c>
      <c r="N747" s="588" t="s">
        <v>128</v>
      </c>
      <c r="O747" s="642">
        <v>0</v>
      </c>
      <c r="P747" s="184">
        <v>0</v>
      </c>
      <c r="Q747" s="184">
        <v>0</v>
      </c>
      <c r="R747" s="184">
        <v>0</v>
      </c>
      <c r="S747" s="184">
        <v>1</v>
      </c>
      <c r="T747" s="184">
        <v>1</v>
      </c>
      <c r="U747" s="184">
        <v>2</v>
      </c>
      <c r="V747" s="184">
        <v>2</v>
      </c>
      <c r="W747" s="184">
        <v>0</v>
      </c>
      <c r="X747" s="184">
        <v>0</v>
      </c>
      <c r="Y747" s="184">
        <v>0</v>
      </c>
      <c r="Z747" s="184">
        <v>0</v>
      </c>
      <c r="AA747" s="184">
        <v>0</v>
      </c>
      <c r="AB747" s="184">
        <v>0</v>
      </c>
      <c r="AC747" s="185">
        <v>36.799999999999997</v>
      </c>
      <c r="AD747" s="185" t="s">
        <v>24</v>
      </c>
      <c r="AE747" s="184">
        <v>0</v>
      </c>
      <c r="AF747" s="185">
        <v>0</v>
      </c>
      <c r="AG747" s="184">
        <v>0</v>
      </c>
      <c r="AH747" s="185">
        <v>0</v>
      </c>
      <c r="AI747" s="184">
        <v>0</v>
      </c>
      <c r="AJ747" s="643">
        <v>0</v>
      </c>
    </row>
    <row r="748" spans="1:36" x14ac:dyDescent="0.2">
      <c r="A748" s="440" t="s">
        <v>129</v>
      </c>
      <c r="B748" s="642">
        <v>0</v>
      </c>
      <c r="C748" s="184">
        <v>0</v>
      </c>
      <c r="D748" s="184">
        <v>0</v>
      </c>
      <c r="E748" s="184">
        <v>0</v>
      </c>
      <c r="F748" s="184">
        <v>0</v>
      </c>
      <c r="G748" s="184">
        <v>0</v>
      </c>
      <c r="H748" s="184">
        <v>0</v>
      </c>
      <c r="I748" s="184">
        <v>0</v>
      </c>
      <c r="J748" s="184">
        <v>0</v>
      </c>
      <c r="K748" s="184">
        <v>0</v>
      </c>
      <c r="L748" s="184">
        <v>0</v>
      </c>
      <c r="M748" s="654" t="s">
        <v>24</v>
      </c>
      <c r="N748" s="588" t="s">
        <v>129</v>
      </c>
      <c r="O748" s="642">
        <v>0</v>
      </c>
      <c r="P748" s="184">
        <v>0</v>
      </c>
      <c r="Q748" s="184">
        <v>0</v>
      </c>
      <c r="R748" s="184">
        <v>0</v>
      </c>
      <c r="S748" s="184">
        <v>0</v>
      </c>
      <c r="T748" s="184">
        <v>0</v>
      </c>
      <c r="U748" s="184">
        <v>0</v>
      </c>
      <c r="V748" s="184">
        <v>0</v>
      </c>
      <c r="W748" s="184">
        <v>0</v>
      </c>
      <c r="X748" s="184">
        <v>0</v>
      </c>
      <c r="Y748" s="184">
        <v>0</v>
      </c>
      <c r="Z748" s="184">
        <v>0</v>
      </c>
      <c r="AA748" s="184">
        <v>0</v>
      </c>
      <c r="AB748" s="184">
        <v>0</v>
      </c>
      <c r="AC748" s="185" t="s">
        <v>24</v>
      </c>
      <c r="AD748" s="185" t="s">
        <v>24</v>
      </c>
      <c r="AE748" s="184">
        <v>0</v>
      </c>
      <c r="AF748" s="185">
        <v>0</v>
      </c>
      <c r="AG748" s="184">
        <v>0</v>
      </c>
      <c r="AH748" s="185">
        <v>0</v>
      </c>
      <c r="AI748" s="184">
        <v>0</v>
      </c>
      <c r="AJ748" s="643">
        <v>0</v>
      </c>
    </row>
    <row r="749" spans="1:36" x14ac:dyDescent="0.2">
      <c r="A749" s="440" t="s">
        <v>78</v>
      </c>
      <c r="B749" s="642">
        <v>1</v>
      </c>
      <c r="C749" s="184">
        <v>0</v>
      </c>
      <c r="D749" s="184">
        <v>1</v>
      </c>
      <c r="E749" s="184">
        <v>0</v>
      </c>
      <c r="F749" s="184">
        <v>0</v>
      </c>
      <c r="G749" s="184">
        <v>0</v>
      </c>
      <c r="H749" s="184">
        <v>0</v>
      </c>
      <c r="I749" s="184">
        <v>0</v>
      </c>
      <c r="J749" s="184">
        <v>0</v>
      </c>
      <c r="K749" s="184">
        <v>0</v>
      </c>
      <c r="L749" s="184">
        <v>0</v>
      </c>
      <c r="M749" s="654" t="s">
        <v>24</v>
      </c>
      <c r="N749" s="588" t="s">
        <v>78</v>
      </c>
      <c r="O749" s="642">
        <v>0</v>
      </c>
      <c r="P749" s="184">
        <v>0</v>
      </c>
      <c r="Q749" s="184">
        <v>0</v>
      </c>
      <c r="R749" s="184">
        <v>0</v>
      </c>
      <c r="S749" s="184">
        <v>0</v>
      </c>
      <c r="T749" s="184">
        <v>0</v>
      </c>
      <c r="U749" s="184">
        <v>1</v>
      </c>
      <c r="V749" s="184">
        <v>0</v>
      </c>
      <c r="W749" s="184">
        <v>0</v>
      </c>
      <c r="X749" s="184">
        <v>0</v>
      </c>
      <c r="Y749" s="184">
        <v>0</v>
      </c>
      <c r="Z749" s="184">
        <v>0</v>
      </c>
      <c r="AA749" s="184">
        <v>0</v>
      </c>
      <c r="AB749" s="184">
        <v>0</v>
      </c>
      <c r="AC749" s="185">
        <v>37.799999999999997</v>
      </c>
      <c r="AD749" s="185" t="s">
        <v>24</v>
      </c>
      <c r="AE749" s="184">
        <v>0</v>
      </c>
      <c r="AF749" s="185">
        <v>0</v>
      </c>
      <c r="AG749" s="184">
        <v>0</v>
      </c>
      <c r="AH749" s="185">
        <v>0</v>
      </c>
      <c r="AI749" s="184">
        <v>0</v>
      </c>
      <c r="AJ749" s="643">
        <v>0</v>
      </c>
    </row>
    <row r="750" spans="1:36" x14ac:dyDescent="0.2">
      <c r="A750" s="440" t="s">
        <v>130</v>
      </c>
      <c r="B750" s="642">
        <v>1</v>
      </c>
      <c r="C750" s="184">
        <v>0</v>
      </c>
      <c r="D750" s="184">
        <v>1</v>
      </c>
      <c r="E750" s="184">
        <v>0</v>
      </c>
      <c r="F750" s="184">
        <v>0</v>
      </c>
      <c r="G750" s="184">
        <v>0</v>
      </c>
      <c r="H750" s="184">
        <v>0</v>
      </c>
      <c r="I750" s="184">
        <v>0</v>
      </c>
      <c r="J750" s="184">
        <v>0</v>
      </c>
      <c r="K750" s="184">
        <v>0</v>
      </c>
      <c r="L750" s="184">
        <v>0</v>
      </c>
      <c r="M750" s="654" t="s">
        <v>24</v>
      </c>
      <c r="N750" s="588" t="s">
        <v>130</v>
      </c>
      <c r="O750" s="642">
        <v>0</v>
      </c>
      <c r="P750" s="184">
        <v>0</v>
      </c>
      <c r="Q750" s="184">
        <v>0</v>
      </c>
      <c r="R750" s="184">
        <v>0</v>
      </c>
      <c r="S750" s="184">
        <v>0</v>
      </c>
      <c r="T750" s="184">
        <v>1</v>
      </c>
      <c r="U750" s="184">
        <v>0</v>
      </c>
      <c r="V750" s="184">
        <v>0</v>
      </c>
      <c r="W750" s="184">
        <v>0</v>
      </c>
      <c r="X750" s="184">
        <v>0</v>
      </c>
      <c r="Y750" s="184">
        <v>0</v>
      </c>
      <c r="Z750" s="184">
        <v>0</v>
      </c>
      <c r="AA750" s="184">
        <v>0</v>
      </c>
      <c r="AB750" s="184">
        <v>0</v>
      </c>
      <c r="AC750" s="185">
        <v>33.700000000000003</v>
      </c>
      <c r="AD750" s="185" t="s">
        <v>24</v>
      </c>
      <c r="AE750" s="184">
        <v>0</v>
      </c>
      <c r="AF750" s="185">
        <v>0</v>
      </c>
      <c r="AG750" s="184">
        <v>0</v>
      </c>
      <c r="AH750" s="185">
        <v>0</v>
      </c>
      <c r="AI750" s="184">
        <v>0</v>
      </c>
      <c r="AJ750" s="643">
        <v>0</v>
      </c>
    </row>
    <row r="751" spans="1:36" x14ac:dyDescent="0.2">
      <c r="A751" s="440" t="s">
        <v>131</v>
      </c>
      <c r="B751" s="642">
        <v>2</v>
      </c>
      <c r="C751" s="184">
        <v>0</v>
      </c>
      <c r="D751" s="184">
        <v>2</v>
      </c>
      <c r="E751" s="184">
        <v>0</v>
      </c>
      <c r="F751" s="184">
        <v>0</v>
      </c>
      <c r="G751" s="184">
        <v>0</v>
      </c>
      <c r="H751" s="184">
        <v>0</v>
      </c>
      <c r="I751" s="184">
        <v>0</v>
      </c>
      <c r="J751" s="184">
        <v>0</v>
      </c>
      <c r="K751" s="184">
        <v>0</v>
      </c>
      <c r="L751" s="184">
        <v>0</v>
      </c>
      <c r="M751" s="654" t="s">
        <v>24</v>
      </c>
      <c r="N751" s="588" t="s">
        <v>131</v>
      </c>
      <c r="O751" s="642">
        <v>0</v>
      </c>
      <c r="P751" s="184">
        <v>0</v>
      </c>
      <c r="Q751" s="184">
        <v>0</v>
      </c>
      <c r="R751" s="184">
        <v>0</v>
      </c>
      <c r="S751" s="184">
        <v>0</v>
      </c>
      <c r="T751" s="184">
        <v>0</v>
      </c>
      <c r="U751" s="184">
        <v>0</v>
      </c>
      <c r="V751" s="184">
        <v>0</v>
      </c>
      <c r="W751" s="184">
        <v>0</v>
      </c>
      <c r="X751" s="184">
        <v>2</v>
      </c>
      <c r="Y751" s="184">
        <v>0</v>
      </c>
      <c r="Z751" s="184">
        <v>0</v>
      </c>
      <c r="AA751" s="184">
        <v>0</v>
      </c>
      <c r="AB751" s="184">
        <v>0</v>
      </c>
      <c r="AC751" s="185">
        <v>52</v>
      </c>
      <c r="AD751" s="185" t="s">
        <v>24</v>
      </c>
      <c r="AE751" s="184">
        <v>0</v>
      </c>
      <c r="AF751" s="185">
        <v>0</v>
      </c>
      <c r="AG751" s="184">
        <v>0</v>
      </c>
      <c r="AH751" s="185">
        <v>0</v>
      </c>
      <c r="AI751" s="184">
        <v>0</v>
      </c>
      <c r="AJ751" s="643">
        <v>0</v>
      </c>
    </row>
    <row r="752" spans="1:36" x14ac:dyDescent="0.2">
      <c r="A752" s="440" t="s">
        <v>132</v>
      </c>
      <c r="B752" s="648">
        <v>0</v>
      </c>
      <c r="C752" s="649">
        <v>0</v>
      </c>
      <c r="D752" s="649">
        <v>0</v>
      </c>
      <c r="E752" s="649">
        <v>0</v>
      </c>
      <c r="F752" s="649">
        <v>0</v>
      </c>
      <c r="G752" s="649">
        <v>0</v>
      </c>
      <c r="H752" s="649">
        <v>0</v>
      </c>
      <c r="I752" s="649">
        <v>0</v>
      </c>
      <c r="J752" s="649">
        <v>0</v>
      </c>
      <c r="K752" s="649">
        <v>0</v>
      </c>
      <c r="L752" s="649">
        <v>0</v>
      </c>
      <c r="M752" s="657" t="s">
        <v>24</v>
      </c>
      <c r="N752" s="589" t="s">
        <v>132</v>
      </c>
      <c r="O752" s="648">
        <v>0</v>
      </c>
      <c r="P752" s="649">
        <v>0</v>
      </c>
      <c r="Q752" s="649">
        <v>0</v>
      </c>
      <c r="R752" s="649">
        <v>0</v>
      </c>
      <c r="S752" s="649">
        <v>0</v>
      </c>
      <c r="T752" s="649">
        <v>0</v>
      </c>
      <c r="U752" s="649">
        <v>0</v>
      </c>
      <c r="V752" s="649">
        <v>0</v>
      </c>
      <c r="W752" s="649">
        <v>0</v>
      </c>
      <c r="X752" s="649">
        <v>0</v>
      </c>
      <c r="Y752" s="649">
        <v>0</v>
      </c>
      <c r="Z752" s="649">
        <v>0</v>
      </c>
      <c r="AA752" s="649">
        <v>0</v>
      </c>
      <c r="AB752" s="649">
        <v>0</v>
      </c>
      <c r="AC752" s="650" t="s">
        <v>24</v>
      </c>
      <c r="AD752" s="650" t="s">
        <v>24</v>
      </c>
      <c r="AE752" s="649">
        <v>0</v>
      </c>
      <c r="AF752" s="650">
        <v>0</v>
      </c>
      <c r="AG752" s="649">
        <v>0</v>
      </c>
      <c r="AH752" s="650">
        <v>0</v>
      </c>
      <c r="AI752" s="649">
        <v>0</v>
      </c>
      <c r="AJ752" s="651">
        <v>0</v>
      </c>
    </row>
    <row r="753" spans="1:36" x14ac:dyDescent="0.2">
      <c r="A753" s="440" t="s">
        <v>133</v>
      </c>
      <c r="B753" s="598">
        <v>559</v>
      </c>
      <c r="C753" s="599">
        <v>14</v>
      </c>
      <c r="D753" s="599">
        <v>481</v>
      </c>
      <c r="E753" s="599">
        <v>4</v>
      </c>
      <c r="F753" s="599">
        <v>56</v>
      </c>
      <c r="G753" s="599">
        <v>2</v>
      </c>
      <c r="H753" s="599">
        <v>0</v>
      </c>
      <c r="I753" s="599">
        <v>2</v>
      </c>
      <c r="J753" s="599">
        <v>0</v>
      </c>
      <c r="K753" s="599">
        <v>0</v>
      </c>
      <c r="L753" s="599">
        <v>0</v>
      </c>
      <c r="M753" s="600" t="s">
        <v>24</v>
      </c>
      <c r="N753" s="587" t="s">
        <v>133</v>
      </c>
      <c r="O753" s="598">
        <v>5</v>
      </c>
      <c r="P753" s="599">
        <v>6</v>
      </c>
      <c r="Q753" s="599">
        <v>5</v>
      </c>
      <c r="R753" s="599">
        <v>11</v>
      </c>
      <c r="S753" s="599">
        <v>16</v>
      </c>
      <c r="T753" s="599">
        <v>82</v>
      </c>
      <c r="U753" s="599">
        <v>138</v>
      </c>
      <c r="V753" s="599">
        <v>159</v>
      </c>
      <c r="W753" s="599">
        <v>84</v>
      </c>
      <c r="X753" s="599">
        <v>50</v>
      </c>
      <c r="Y753" s="599">
        <v>3</v>
      </c>
      <c r="Z753" s="599">
        <v>0</v>
      </c>
      <c r="AA753" s="599">
        <v>0</v>
      </c>
      <c r="AB753" s="599">
        <v>0</v>
      </c>
      <c r="AC753" s="611">
        <v>39.689583333333331</v>
      </c>
      <c r="AD753" s="611">
        <v>47.574999999999989</v>
      </c>
      <c r="AE753" s="599">
        <v>3</v>
      </c>
      <c r="AF753" s="611">
        <v>0.34722222222222227</v>
      </c>
      <c r="AG753" s="599">
        <v>0</v>
      </c>
      <c r="AH753" s="611">
        <v>0</v>
      </c>
      <c r="AI753" s="599">
        <v>0</v>
      </c>
      <c r="AJ753" s="612">
        <v>0</v>
      </c>
    </row>
    <row r="754" spans="1:36" x14ac:dyDescent="0.2">
      <c r="A754" s="440" t="s">
        <v>134</v>
      </c>
      <c r="B754" s="601">
        <v>637</v>
      </c>
      <c r="C754" s="441">
        <v>15</v>
      </c>
      <c r="D754" s="441">
        <v>552</v>
      </c>
      <c r="E754" s="441">
        <v>6</v>
      </c>
      <c r="F754" s="441">
        <v>60</v>
      </c>
      <c r="G754" s="441">
        <v>2</v>
      </c>
      <c r="H754" s="441">
        <v>0</v>
      </c>
      <c r="I754" s="441">
        <v>2</v>
      </c>
      <c r="J754" s="441">
        <v>0</v>
      </c>
      <c r="K754" s="441">
        <v>0</v>
      </c>
      <c r="L754" s="441">
        <v>0</v>
      </c>
      <c r="M754" s="602" t="s">
        <v>24</v>
      </c>
      <c r="N754" s="588" t="s">
        <v>134</v>
      </c>
      <c r="O754" s="601">
        <v>5</v>
      </c>
      <c r="P754" s="441">
        <v>7</v>
      </c>
      <c r="Q754" s="441">
        <v>5</v>
      </c>
      <c r="R754" s="441">
        <v>11</v>
      </c>
      <c r="S754" s="441">
        <v>19</v>
      </c>
      <c r="T754" s="441">
        <v>88</v>
      </c>
      <c r="U754" s="441">
        <v>160</v>
      </c>
      <c r="V754" s="441">
        <v>182</v>
      </c>
      <c r="W754" s="441">
        <v>100</v>
      </c>
      <c r="X754" s="441">
        <v>56</v>
      </c>
      <c r="Y754" s="441">
        <v>4</v>
      </c>
      <c r="Z754" s="441">
        <v>0</v>
      </c>
      <c r="AA754" s="441">
        <v>0</v>
      </c>
      <c r="AB754" s="441">
        <v>0</v>
      </c>
      <c r="AC754" s="442">
        <v>39.8920634920635</v>
      </c>
      <c r="AD754" s="442">
        <v>47.574999999999989</v>
      </c>
      <c r="AE754" s="441">
        <v>4</v>
      </c>
      <c r="AF754" s="442">
        <v>0.52083333333333326</v>
      </c>
      <c r="AG754" s="441">
        <v>0</v>
      </c>
      <c r="AH754" s="442">
        <v>0</v>
      </c>
      <c r="AI754" s="441">
        <v>0</v>
      </c>
      <c r="AJ754" s="613">
        <v>0</v>
      </c>
    </row>
    <row r="755" spans="1:36" x14ac:dyDescent="0.2">
      <c r="A755" s="440" t="s">
        <v>135</v>
      </c>
      <c r="B755" s="601">
        <v>650</v>
      </c>
      <c r="C755" s="441">
        <v>15</v>
      </c>
      <c r="D755" s="441">
        <v>565</v>
      </c>
      <c r="E755" s="441">
        <v>6</v>
      </c>
      <c r="F755" s="441">
        <v>60</v>
      </c>
      <c r="G755" s="441">
        <v>2</v>
      </c>
      <c r="H755" s="441">
        <v>0</v>
      </c>
      <c r="I755" s="441">
        <v>2</v>
      </c>
      <c r="J755" s="441">
        <v>0</v>
      </c>
      <c r="K755" s="441">
        <v>0</v>
      </c>
      <c r="L755" s="441">
        <v>0</v>
      </c>
      <c r="M755" s="602" t="s">
        <v>24</v>
      </c>
      <c r="N755" s="588" t="s">
        <v>135</v>
      </c>
      <c r="O755" s="601">
        <v>5</v>
      </c>
      <c r="P755" s="441">
        <v>7</v>
      </c>
      <c r="Q755" s="441">
        <v>5</v>
      </c>
      <c r="R755" s="441">
        <v>11</v>
      </c>
      <c r="S755" s="441">
        <v>20</v>
      </c>
      <c r="T755" s="441">
        <v>91</v>
      </c>
      <c r="U755" s="441">
        <v>164</v>
      </c>
      <c r="V755" s="441">
        <v>185</v>
      </c>
      <c r="W755" s="441">
        <v>100</v>
      </c>
      <c r="X755" s="441">
        <v>58</v>
      </c>
      <c r="Y755" s="441">
        <v>4</v>
      </c>
      <c r="Z755" s="441">
        <v>0</v>
      </c>
      <c r="AA755" s="441">
        <v>0</v>
      </c>
      <c r="AB755" s="441">
        <v>0</v>
      </c>
      <c r="AC755" s="442">
        <v>39.846376811594212</v>
      </c>
      <c r="AD755" s="442">
        <v>47.574999999999989</v>
      </c>
      <c r="AE755" s="441">
        <v>4</v>
      </c>
      <c r="AF755" s="442">
        <v>0.46296296296296291</v>
      </c>
      <c r="AG755" s="441">
        <v>0</v>
      </c>
      <c r="AH755" s="442">
        <v>0</v>
      </c>
      <c r="AI755" s="441">
        <v>0</v>
      </c>
      <c r="AJ755" s="613">
        <v>0</v>
      </c>
    </row>
    <row r="756" spans="1:36" x14ac:dyDescent="0.2">
      <c r="A756" s="688" t="s">
        <v>136</v>
      </c>
      <c r="B756" s="603">
        <v>663</v>
      </c>
      <c r="C756" s="604">
        <v>15</v>
      </c>
      <c r="D756" s="604">
        <v>577</v>
      </c>
      <c r="E756" s="604">
        <v>6</v>
      </c>
      <c r="F756" s="604">
        <v>61</v>
      </c>
      <c r="G756" s="604">
        <v>2</v>
      </c>
      <c r="H756" s="604">
        <v>0</v>
      </c>
      <c r="I756" s="604">
        <v>2</v>
      </c>
      <c r="J756" s="604">
        <v>0</v>
      </c>
      <c r="K756" s="604">
        <v>0</v>
      </c>
      <c r="L756" s="604">
        <v>0</v>
      </c>
      <c r="M756" s="605" t="s">
        <v>24</v>
      </c>
      <c r="N756" s="589" t="s">
        <v>136</v>
      </c>
      <c r="O756" s="603">
        <v>5</v>
      </c>
      <c r="P756" s="604">
        <v>7</v>
      </c>
      <c r="Q756" s="604">
        <v>5</v>
      </c>
      <c r="R756" s="604">
        <v>11</v>
      </c>
      <c r="S756" s="604">
        <v>20</v>
      </c>
      <c r="T756" s="604">
        <v>91</v>
      </c>
      <c r="U756" s="604">
        <v>166</v>
      </c>
      <c r="V756" s="604">
        <v>191</v>
      </c>
      <c r="W756" s="604">
        <v>103</v>
      </c>
      <c r="X756" s="604">
        <v>60</v>
      </c>
      <c r="Y756" s="604">
        <v>4</v>
      </c>
      <c r="Z756" s="604">
        <v>0</v>
      </c>
      <c r="AA756" s="604">
        <v>0</v>
      </c>
      <c r="AB756" s="604">
        <v>0</v>
      </c>
      <c r="AC756" s="614">
        <v>40.302597402597392</v>
      </c>
      <c r="AD756" s="614">
        <v>47.574999999999989</v>
      </c>
      <c r="AE756" s="604">
        <v>4</v>
      </c>
      <c r="AF756" s="614">
        <v>0.34722222222222215</v>
      </c>
      <c r="AG756" s="604">
        <v>0</v>
      </c>
      <c r="AH756" s="614">
        <v>0</v>
      </c>
      <c r="AI756" s="604">
        <v>0</v>
      </c>
      <c r="AJ756" s="615">
        <v>0</v>
      </c>
    </row>
    <row r="757" spans="1:36" x14ac:dyDescent="0.2">
      <c r="A757" s="149"/>
    </row>
    <row r="758" spans="1:36" x14ac:dyDescent="0.2">
      <c r="A758" s="149"/>
    </row>
    <row r="759" spans="1:36" x14ac:dyDescent="0.2">
      <c r="A759" s="150"/>
      <c r="B759" s="65"/>
      <c r="C759" s="65"/>
      <c r="D759" s="65"/>
      <c r="E759" s="65"/>
      <c r="F759" s="65"/>
      <c r="G759" s="65"/>
      <c r="H759" s="65"/>
      <c r="I759" s="65"/>
      <c r="J759" s="65"/>
      <c r="K759" s="65"/>
      <c r="L759" s="65"/>
      <c r="M759" s="65"/>
      <c r="N759" s="235"/>
      <c r="O759" s="65"/>
      <c r="P759" s="65"/>
      <c r="Q759" s="65"/>
      <c r="R759" s="65"/>
      <c r="S759" s="65"/>
      <c r="T759" s="65"/>
      <c r="U759" s="65"/>
      <c r="V759" s="65"/>
      <c r="W759" s="65"/>
      <c r="X759" s="65"/>
      <c r="Y759" s="65"/>
      <c r="Z759" s="65"/>
      <c r="AA759" s="65"/>
      <c r="AB759" s="65"/>
      <c r="AC759" s="65"/>
      <c r="AD759" s="65"/>
      <c r="AE759" s="65"/>
      <c r="AF759" s="65"/>
      <c r="AG759" s="65"/>
      <c r="AH759" s="65"/>
      <c r="AI759" s="65"/>
      <c r="AJ759" s="65"/>
    </row>
    <row r="760" spans="1:36" x14ac:dyDescent="0.2">
      <c r="A760" s="149"/>
      <c r="B760" s="65"/>
      <c r="C760" s="65"/>
      <c r="D760" s="65"/>
      <c r="E760" s="65"/>
      <c r="F760" s="65"/>
      <c r="G760" s="65"/>
      <c r="H760" s="65"/>
      <c r="I760" s="65"/>
      <c r="J760" s="65"/>
      <c r="K760" s="65"/>
      <c r="L760" s="65"/>
      <c r="M760" s="65"/>
      <c r="N760" s="235"/>
      <c r="O760" s="65"/>
      <c r="P760" s="65"/>
      <c r="Q760" s="65"/>
      <c r="R760" s="65"/>
      <c r="S760" s="65"/>
      <c r="T760" s="65"/>
      <c r="U760" s="65"/>
      <c r="V760" s="65"/>
      <c r="W760" s="65"/>
      <c r="X760" s="65"/>
      <c r="Y760" s="65"/>
      <c r="Z760" s="65"/>
      <c r="AA760" s="65"/>
      <c r="AB760" s="65"/>
      <c r="AC760" s="65"/>
      <c r="AD760" s="65"/>
      <c r="AE760" s="65"/>
      <c r="AF760" s="65"/>
      <c r="AG760" s="65"/>
      <c r="AH760" s="65"/>
      <c r="AI760" s="65"/>
      <c r="AJ760" s="65"/>
    </row>
    <row r="761" spans="1:36" x14ac:dyDescent="0.2">
      <c r="A761" s="149"/>
      <c r="B761" s="65"/>
      <c r="C761" s="65"/>
      <c r="D761" s="65"/>
      <c r="E761" s="65"/>
      <c r="F761" s="65"/>
      <c r="G761" s="65"/>
      <c r="H761" s="65"/>
      <c r="I761" s="65"/>
      <c r="J761" s="65"/>
      <c r="K761" s="65"/>
      <c r="L761" s="65"/>
      <c r="M761" s="65"/>
      <c r="N761" s="235"/>
      <c r="O761" s="65"/>
      <c r="P761" s="65"/>
      <c r="Q761" s="65"/>
      <c r="R761" s="65"/>
      <c r="S761" s="65"/>
      <c r="T761" s="65"/>
      <c r="U761" s="65"/>
      <c r="V761" s="65"/>
      <c r="W761" s="65"/>
      <c r="X761" s="65"/>
      <c r="Y761" s="65"/>
      <c r="Z761" s="65"/>
      <c r="AA761" s="65"/>
      <c r="AB761" s="65"/>
      <c r="AC761" s="65"/>
      <c r="AD761" s="65"/>
      <c r="AE761" s="65"/>
      <c r="AF761" s="65"/>
      <c r="AG761" s="65"/>
      <c r="AH761" s="65"/>
      <c r="AI761" s="65"/>
      <c r="AJ761" s="65"/>
    </row>
    <row r="762" spans="1:36" x14ac:dyDescent="0.2">
      <c r="A762" s="149"/>
      <c r="B762" s="65"/>
      <c r="C762" s="65"/>
      <c r="D762" s="65"/>
      <c r="E762" s="65"/>
      <c r="F762" s="65"/>
      <c r="G762" s="65"/>
      <c r="H762" s="65"/>
      <c r="I762" s="65"/>
      <c r="J762" s="65"/>
      <c r="K762" s="65"/>
      <c r="L762" s="65"/>
      <c r="M762" s="65"/>
      <c r="N762" s="235"/>
      <c r="O762" s="65"/>
      <c r="P762" s="65"/>
      <c r="Q762" s="65"/>
      <c r="R762" s="65"/>
      <c r="S762" s="65"/>
      <c r="T762" s="65"/>
      <c r="U762" s="65"/>
      <c r="V762" s="65"/>
      <c r="W762" s="65"/>
      <c r="X762" s="65"/>
      <c r="Y762" s="65"/>
      <c r="Z762" s="65"/>
      <c r="AA762" s="65"/>
      <c r="AB762" s="65"/>
      <c r="AC762" s="65"/>
      <c r="AD762" s="65"/>
      <c r="AE762" s="65"/>
      <c r="AF762" s="65"/>
      <c r="AG762" s="65"/>
      <c r="AH762" s="65"/>
      <c r="AI762" s="65"/>
      <c r="AJ762" s="65"/>
    </row>
  </sheetData>
  <sheetProtection algorithmName="SHA-512" hashValue="G4pzENEqNTFAaarq2L4JPxT+l2lxAUW7hut8l91X6ZpNw7F/4tCNSgN/z550kH5magihI/rInUQEsNhzv7g5cw==" saltValue="faXPyfQbR7P6T6hG/KsJ/Q==" spinCount="100000" sheet="1" objects="1" scenarios="1"/>
  <mergeCells count="19">
    <mergeCell ref="D3:M3"/>
    <mergeCell ref="D4:M4"/>
    <mergeCell ref="D5:M5"/>
    <mergeCell ref="D6:M6"/>
    <mergeCell ref="CD10:CJ10"/>
    <mergeCell ref="BR10:BX10"/>
    <mergeCell ref="G8:H8"/>
    <mergeCell ref="I8:L8"/>
    <mergeCell ref="AZ10:BF10"/>
    <mergeCell ref="BI10:BO10"/>
    <mergeCell ref="AS10:AW10"/>
    <mergeCell ref="D7:M7"/>
    <mergeCell ref="CY10:DC10"/>
    <mergeCell ref="CM141:CS141"/>
    <mergeCell ref="AS141:AW141"/>
    <mergeCell ref="AZ141:BF141"/>
    <mergeCell ref="BI141:BO141"/>
    <mergeCell ref="BR141:BX141"/>
    <mergeCell ref="CM10:CS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1"/>
  </sheetPr>
  <dimension ref="B1:CT64"/>
  <sheetViews>
    <sheetView showGridLines="0" zoomScale="90" zoomScaleNormal="90" workbookViewId="0"/>
  </sheetViews>
  <sheetFormatPr defaultRowHeight="12.75" x14ac:dyDescent="0.2"/>
  <cols>
    <col min="1" max="1" width="2.42578125" style="170" customWidth="1"/>
    <col min="2" max="2" width="14.28515625" style="170" customWidth="1"/>
    <col min="3" max="3" width="10.5703125" style="170" customWidth="1"/>
    <col min="4" max="4" width="35.7109375" style="155" customWidth="1"/>
    <col min="5" max="5" width="17.140625" style="170" customWidth="1"/>
    <col min="6" max="6" width="11.5703125" style="170" customWidth="1"/>
    <col min="7" max="7" width="9.28515625" style="271" customWidth="1"/>
    <col min="8" max="8" width="7.85546875" style="271" customWidth="1"/>
    <col min="9" max="9" width="8.5703125" style="170" customWidth="1"/>
    <col min="10" max="10" width="9.28515625" style="170" customWidth="1"/>
    <col min="11" max="11" width="8.140625" style="170" customWidth="1"/>
    <col min="12" max="12" width="8.28515625" style="170" customWidth="1"/>
    <col min="13" max="13" width="9.140625" style="170" customWidth="1"/>
    <col min="14" max="17" width="10" style="170" customWidth="1"/>
    <col min="18" max="26" width="9.140625" style="170" customWidth="1"/>
    <col min="27" max="27" width="7.140625" style="172" customWidth="1"/>
    <col min="28" max="28" width="9.140625" style="172" customWidth="1"/>
    <col min="29" max="29" width="8.28515625" style="172" customWidth="1"/>
    <col min="30" max="31" width="11" style="172" customWidth="1"/>
    <col min="32" max="32" width="2.7109375" style="172" customWidth="1"/>
    <col min="33" max="33" width="11" style="172" customWidth="1"/>
    <col min="34" max="34" width="10.42578125" style="172" customWidth="1"/>
    <col min="35" max="35" width="9.5703125" style="172" customWidth="1"/>
    <col min="36" max="36" width="9.85546875" style="172" customWidth="1"/>
    <col min="37" max="37" width="2.7109375" style="172" customWidth="1"/>
    <col min="38" max="41" width="9.85546875" style="172" customWidth="1"/>
    <col min="42" max="42" width="2.7109375" style="172" customWidth="1"/>
    <col min="43" max="43" width="7.7109375" style="172" customWidth="1"/>
    <col min="44" max="44" width="7.85546875" style="172" customWidth="1"/>
    <col min="45" max="45" width="2.7109375" style="172" customWidth="1"/>
    <col min="46" max="47" width="9.85546875" style="172" customWidth="1"/>
    <col min="48" max="48" width="11" style="172" customWidth="1"/>
    <col min="49" max="49" width="10.5703125" style="172" customWidth="1"/>
    <col min="50" max="50" width="2.7109375" style="172" customWidth="1"/>
    <col min="51" max="54" width="10.5703125" style="172" customWidth="1"/>
    <col min="55" max="55" width="2.7109375" style="172" customWidth="1"/>
    <col min="56" max="56" width="12.140625" style="172" customWidth="1"/>
    <col min="57" max="57" width="9.7109375" style="172" customWidth="1"/>
    <col min="58" max="61" width="10.5703125" style="172" customWidth="1"/>
    <col min="62" max="62" width="2.7109375" style="172" customWidth="1"/>
    <col min="63" max="63" width="7.85546875" style="172" customWidth="1"/>
    <col min="64" max="64" width="8.28515625" style="172" customWidth="1"/>
    <col min="65" max="65" width="10.42578125" style="172" customWidth="1"/>
    <col min="66" max="66" width="10.140625" style="172" customWidth="1"/>
    <col min="67" max="67" width="2.7109375" style="172" customWidth="1"/>
    <col min="68" max="71" width="10.140625" style="172" customWidth="1"/>
    <col min="72" max="72" width="2.7109375" style="172" customWidth="1"/>
    <col min="73" max="74" width="9.140625" style="172"/>
    <col min="75" max="75" width="2.7109375" style="172" customWidth="1"/>
    <col min="76" max="76" width="10.5703125" style="172" customWidth="1"/>
    <col min="77" max="77" width="9.140625" style="170"/>
    <col min="78" max="78" width="2.7109375" style="170" customWidth="1"/>
    <col min="79" max="80" width="9.140625" style="170"/>
    <col min="81" max="81" width="14.28515625" style="170" customWidth="1"/>
    <col min="82" max="82" width="15.7109375" style="170" customWidth="1"/>
    <col min="83" max="83" width="2.7109375" style="170" customWidth="1"/>
    <col min="84" max="84" width="9.140625" style="170"/>
    <col min="85" max="85" width="17.28515625" style="170" customWidth="1"/>
    <col min="86" max="86" width="8.7109375" style="170" customWidth="1"/>
    <col min="87" max="87" width="12.42578125" style="170" customWidth="1"/>
    <col min="88" max="88" width="2.7109375" style="170" customWidth="1"/>
    <col min="89" max="89" width="10.140625" style="170" customWidth="1"/>
    <col min="90" max="90" width="13.140625" style="170" customWidth="1"/>
    <col min="91" max="16384" width="9.140625" style="170"/>
  </cols>
  <sheetData>
    <row r="1" spans="2:98" ht="6.75" customHeight="1" x14ac:dyDescent="0.2"/>
    <row r="2" spans="2:98" ht="15.75" customHeight="1" thickBot="1" x14ac:dyDescent="0.25">
      <c r="B2" s="197"/>
      <c r="AC2" s="784" t="s">
        <v>377</v>
      </c>
      <c r="AD2" s="788"/>
      <c r="AE2" s="785"/>
      <c r="AG2" s="784" t="s">
        <v>371</v>
      </c>
      <c r="AH2" s="788"/>
      <c r="AI2" s="788"/>
      <c r="AJ2" s="785"/>
      <c r="AL2" s="784" t="s">
        <v>372</v>
      </c>
      <c r="AM2" s="788"/>
      <c r="AN2" s="788"/>
      <c r="AO2" s="785"/>
      <c r="AQ2" s="784" t="s">
        <v>382</v>
      </c>
      <c r="AR2" s="785"/>
      <c r="AT2" s="784" t="s">
        <v>367</v>
      </c>
      <c r="AU2" s="788"/>
      <c r="AV2" s="788"/>
      <c r="AW2" s="785"/>
      <c r="AY2" s="784" t="s">
        <v>368</v>
      </c>
      <c r="AZ2" s="788"/>
      <c r="BA2" s="788"/>
      <c r="BB2" s="788"/>
      <c r="BC2" s="788"/>
      <c r="BD2" s="788"/>
      <c r="BE2" s="788"/>
      <c r="BF2" s="788"/>
      <c r="BG2" s="788"/>
      <c r="BH2" s="788"/>
      <c r="BI2" s="785"/>
      <c r="BK2" s="784" t="s">
        <v>369</v>
      </c>
      <c r="BL2" s="788"/>
      <c r="BM2" s="788"/>
      <c r="BN2" s="785"/>
      <c r="BP2" s="784" t="s">
        <v>370</v>
      </c>
      <c r="BQ2" s="788"/>
      <c r="BR2" s="788"/>
      <c r="BS2" s="785"/>
      <c r="BU2" s="784" t="s">
        <v>388</v>
      </c>
      <c r="BV2" s="785"/>
      <c r="BX2" s="784" t="s">
        <v>352</v>
      </c>
      <c r="BY2" s="785"/>
      <c r="CA2" s="786" t="s">
        <v>317</v>
      </c>
      <c r="CB2" s="799"/>
      <c r="CC2" s="799"/>
      <c r="CD2" s="787"/>
      <c r="CF2" s="784" t="s">
        <v>389</v>
      </c>
      <c r="CG2" s="785"/>
      <c r="CK2" s="786" t="s">
        <v>384</v>
      </c>
      <c r="CL2" s="787"/>
      <c r="CN2" s="698" t="str">
        <f>"PV2 "&amp;CI17</f>
        <v>PV2 →</v>
      </c>
    </row>
    <row r="3" spans="2:98" ht="15" customHeight="1" x14ac:dyDescent="0.2">
      <c r="B3" s="247" t="s">
        <v>20</v>
      </c>
      <c r="C3" s="248"/>
      <c r="D3" s="156" t="str">
        <f ca="1">CL17&amp;" "&amp; UPPER(TRIM(RIGHT(SUBSTITUTE(D5, ",", REPT(" ", LEN(D5))), LEN(D5))))</f>
        <v>18225 GT TOTHAM</v>
      </c>
      <c r="E3" s="266" t="s">
        <v>302</v>
      </c>
      <c r="F3" s="169"/>
      <c r="G3" s="227" t="s">
        <v>436</v>
      </c>
      <c r="H3" s="281"/>
      <c r="AA3" s="798" t="s">
        <v>313</v>
      </c>
      <c r="AB3" s="798" t="s">
        <v>142</v>
      </c>
      <c r="AC3" s="497"/>
      <c r="AD3" s="497"/>
      <c r="AE3" s="497"/>
      <c r="AF3" s="497"/>
      <c r="AG3" s="798" t="s">
        <v>304</v>
      </c>
      <c r="AH3" s="798" t="s">
        <v>305</v>
      </c>
      <c r="AI3" s="798" t="s">
        <v>334</v>
      </c>
      <c r="AJ3" s="798" t="s">
        <v>335</v>
      </c>
      <c r="AK3" s="497"/>
      <c r="AL3" s="798" t="s">
        <v>373</v>
      </c>
      <c r="AM3" s="798" t="s">
        <v>374</v>
      </c>
      <c r="AN3" s="798" t="s">
        <v>375</v>
      </c>
      <c r="AO3" s="798" t="s">
        <v>376</v>
      </c>
      <c r="AP3" s="497"/>
      <c r="AQ3" s="497"/>
      <c r="AR3" s="497"/>
      <c r="AS3" s="497"/>
      <c r="AT3" s="798" t="s">
        <v>338</v>
      </c>
      <c r="AU3" s="798" t="s">
        <v>339</v>
      </c>
      <c r="AV3" s="798" t="s">
        <v>340</v>
      </c>
      <c r="AW3" s="798" t="s">
        <v>341</v>
      </c>
      <c r="AX3" s="497"/>
      <c r="AY3" s="798" t="s">
        <v>356</v>
      </c>
      <c r="AZ3" s="798" t="s">
        <v>357</v>
      </c>
      <c r="BA3" s="798" t="s">
        <v>358</v>
      </c>
      <c r="BB3" s="798" t="s">
        <v>359</v>
      </c>
      <c r="BC3" s="497"/>
      <c r="BD3" s="497"/>
      <c r="BE3" s="497"/>
      <c r="BF3" s="798" t="s">
        <v>385</v>
      </c>
      <c r="BG3" s="497"/>
      <c r="BH3" s="497"/>
      <c r="BI3" s="798" t="s">
        <v>386</v>
      </c>
      <c r="BJ3" s="497"/>
      <c r="BK3" s="798" t="s">
        <v>327</v>
      </c>
      <c r="BL3" s="798" t="s">
        <v>328</v>
      </c>
      <c r="BM3" s="798" t="s">
        <v>336</v>
      </c>
      <c r="BN3" s="798" t="s">
        <v>337</v>
      </c>
      <c r="BO3" s="497"/>
      <c r="BP3" s="798" t="s">
        <v>360</v>
      </c>
      <c r="BQ3" s="798" t="s">
        <v>361</v>
      </c>
      <c r="BR3" s="798" t="s">
        <v>362</v>
      </c>
      <c r="BS3" s="798" t="s">
        <v>363</v>
      </c>
      <c r="BT3" s="497"/>
      <c r="BU3" s="798" t="s">
        <v>314</v>
      </c>
      <c r="BV3" s="798" t="s">
        <v>315</v>
      </c>
      <c r="BW3" s="497"/>
      <c r="BX3" s="798" t="s">
        <v>329</v>
      </c>
      <c r="BY3" s="798" t="s">
        <v>330</v>
      </c>
      <c r="BZ3" s="497"/>
      <c r="CA3" s="798" t="s">
        <v>316</v>
      </c>
      <c r="CB3" s="798" t="s">
        <v>317</v>
      </c>
      <c r="CC3" s="798" t="s">
        <v>321</v>
      </c>
      <c r="CD3" s="798" t="s">
        <v>322</v>
      </c>
      <c r="CE3" s="498"/>
      <c r="CF3" s="798" t="s">
        <v>318</v>
      </c>
      <c r="CG3" s="798" t="s">
        <v>319</v>
      </c>
      <c r="CH3" s="497"/>
      <c r="CI3" s="798" t="s">
        <v>352</v>
      </c>
      <c r="CJ3" s="808"/>
      <c r="CK3" s="798" t="s">
        <v>383</v>
      </c>
      <c r="CL3" s="798" t="s">
        <v>331</v>
      </c>
      <c r="CM3" s="279"/>
    </row>
    <row r="4" spans="2:98" ht="15" customHeight="1" thickBot="1" x14ac:dyDescent="0.3">
      <c r="B4" s="249" t="s">
        <v>137</v>
      </c>
      <c r="C4" s="250"/>
      <c r="D4" s="157" t="str">
        <f ca="1">"ATC" &amp; CL16</f>
        <v xml:space="preserve">ATC01 </v>
      </c>
      <c r="E4" s="267" t="s">
        <v>302</v>
      </c>
      <c r="F4" s="198"/>
      <c r="G4" s="227" t="s">
        <v>425</v>
      </c>
      <c r="H4" s="281"/>
      <c r="AA4" s="798"/>
      <c r="AB4" s="798"/>
      <c r="AC4" s="497" t="s">
        <v>350</v>
      </c>
      <c r="AD4" s="497" t="s">
        <v>331</v>
      </c>
      <c r="AE4" s="497" t="s">
        <v>364</v>
      </c>
      <c r="AF4" s="497"/>
      <c r="AG4" s="798"/>
      <c r="AH4" s="798"/>
      <c r="AI4" s="798"/>
      <c r="AJ4" s="798"/>
      <c r="AK4" s="497"/>
      <c r="AL4" s="798"/>
      <c r="AM4" s="798"/>
      <c r="AN4" s="798"/>
      <c r="AO4" s="798"/>
      <c r="AP4" s="497"/>
      <c r="AQ4" s="497" t="s">
        <v>381</v>
      </c>
      <c r="AR4" s="497" t="s">
        <v>380</v>
      </c>
      <c r="AS4" s="497"/>
      <c r="AT4" s="798"/>
      <c r="AU4" s="798"/>
      <c r="AV4" s="798"/>
      <c r="AW4" s="798"/>
      <c r="AX4" s="497"/>
      <c r="AY4" s="798"/>
      <c r="AZ4" s="798"/>
      <c r="BA4" s="798"/>
      <c r="BB4" s="798"/>
      <c r="BC4" s="497"/>
      <c r="BD4" s="497"/>
      <c r="BE4" s="497"/>
      <c r="BF4" s="798"/>
      <c r="BG4" s="497"/>
      <c r="BH4" s="497"/>
      <c r="BI4" s="798"/>
      <c r="BJ4" s="497"/>
      <c r="BK4" s="798"/>
      <c r="BL4" s="798"/>
      <c r="BM4" s="798"/>
      <c r="BN4" s="798"/>
      <c r="BO4" s="497"/>
      <c r="BP4" s="798"/>
      <c r="BQ4" s="798"/>
      <c r="BR4" s="798"/>
      <c r="BS4" s="798"/>
      <c r="BT4" s="497"/>
      <c r="BU4" s="798"/>
      <c r="BV4" s="798"/>
      <c r="BW4" s="497"/>
      <c r="BX4" s="798"/>
      <c r="BY4" s="798"/>
      <c r="BZ4" s="497"/>
      <c r="CA4" s="798"/>
      <c r="CB4" s="798"/>
      <c r="CC4" s="798"/>
      <c r="CD4" s="798"/>
      <c r="CE4" s="498"/>
      <c r="CF4" s="798"/>
      <c r="CG4" s="798"/>
      <c r="CH4" s="497"/>
      <c r="CI4" s="798"/>
      <c r="CJ4" s="808"/>
      <c r="CK4" s="798"/>
      <c r="CL4" s="798"/>
      <c r="CM4" s="279"/>
      <c r="CN4" s="234" t="str">
        <f>'DIR1'!BI114</f>
        <v>Tue</v>
      </c>
      <c r="CO4" s="234" t="str">
        <f>'DIR1'!BJ114</f>
        <v>Wed</v>
      </c>
      <c r="CP4" s="234" t="str">
        <f>'DIR1'!BK114</f>
        <v>Thu</v>
      </c>
      <c r="CQ4" s="234" t="str">
        <f>'DIR1'!BL114</f>
        <v>Fri</v>
      </c>
      <c r="CR4" s="234" t="str">
        <f>'DIR1'!BM114</f>
        <v>Sat</v>
      </c>
      <c r="CS4" s="234" t="str">
        <f>'DIR1'!BN114</f>
        <v>Sun</v>
      </c>
      <c r="CT4" s="234" t="str">
        <f>'DIR1'!BO114</f>
        <v>Mon</v>
      </c>
    </row>
    <row r="5" spans="2:98" ht="15" x14ac:dyDescent="0.2">
      <c r="B5" s="249" t="s">
        <v>291</v>
      </c>
      <c r="C5" s="250"/>
      <c r="D5" s="262" t="s">
        <v>438</v>
      </c>
      <c r="E5" s="544" t="str">
        <f t="shared" ref="E5" si="0">IF(D5="","undefined","")</f>
        <v/>
      </c>
      <c r="F5" s="169"/>
      <c r="G5" s="228">
        <v>43270</v>
      </c>
      <c r="H5" s="281"/>
      <c r="AA5" s="282">
        <v>20</v>
      </c>
      <c r="AB5" s="345" t="s">
        <v>407</v>
      </c>
      <c r="AC5" s="546">
        <f t="shared" ref="AC5:AC10" si="1">IF(AND(SUM(AG5, AH5) &gt;= ($AG$17/5), SUM(AG5, AH5) &gt; 0), 1, 0)</f>
        <v>1</v>
      </c>
      <c r="AD5" s="504">
        <f>D6</f>
        <v>43263</v>
      </c>
      <c r="AE5" s="501" t="str">
        <f t="shared" ref="AE5:AE11" si="2">IF(OR(WEEKDAY(AD5)=2,WEEKDAY(AD5)=6),"NON",IF(OR(WEEKDAY(AD5)=1,WEEKDAY(AD5)=7),"WKND","NEUTRAL"))</f>
        <v>NEUTRAL</v>
      </c>
      <c r="AF5" s="346"/>
      <c r="AG5" s="334">
        <f>'DIR1'!B114</f>
        <v>688</v>
      </c>
      <c r="AH5" s="335">
        <f>'DIR2'!B114</f>
        <v>646</v>
      </c>
      <c r="AI5" s="309">
        <f>IF($AE5&lt;&gt;"WKND", AG5, "")</f>
        <v>688</v>
      </c>
      <c r="AJ5" s="382">
        <f>IF($AE5&lt;&gt;"WKND", AH5, "")</f>
        <v>646</v>
      </c>
      <c r="AK5" s="312"/>
      <c r="AL5" s="334">
        <f>'DIR1'!B111</f>
        <v>574</v>
      </c>
      <c r="AM5" s="335">
        <f>'DIR2'!B111</f>
        <v>548</v>
      </c>
      <c r="AN5" s="309">
        <f>IF($AE5&lt;&gt;"WKND", AL5, "")</f>
        <v>574</v>
      </c>
      <c r="AO5" s="382">
        <f>IF($AE5&lt;&gt;"WKND", AM5, "")</f>
        <v>548</v>
      </c>
      <c r="AP5" s="312"/>
      <c r="AQ5" s="382">
        <f>IF(COUNT('DIR1'!AZ35:AZ98)=64,SUM('DIR1'!AZ35:AZ98),"")</f>
        <v>664</v>
      </c>
      <c r="AR5" s="382">
        <f>IF(COUNT('DIR2'!AZ35:AZ98)=64,SUM('DIR2'!AZ35:AZ98),"")</f>
        <v>628</v>
      </c>
      <c r="AS5" s="312"/>
      <c r="AT5" s="298">
        <f>'DIR1'!AC114</f>
        <v>41.6</v>
      </c>
      <c r="AU5" s="299">
        <f>'DIR2'!AC114</f>
        <v>40.944285714285691</v>
      </c>
      <c r="AV5" s="319">
        <f>IF($AE5&lt;&gt;"WKND", AT5, "")</f>
        <v>41.6</v>
      </c>
      <c r="AW5" s="379">
        <f>IF($AE5&lt;&gt;"WKND", AU5, "")</f>
        <v>40.944285714285691</v>
      </c>
      <c r="AX5" s="321"/>
      <c r="AY5" s="298">
        <f>'DIR1'!AC111</f>
        <v>40.64583333333335</v>
      </c>
      <c r="AZ5" s="299">
        <f>'DIR2'!AC111</f>
        <v>40.020833333333321</v>
      </c>
      <c r="BA5" s="319">
        <f>IF($AE5&lt;&gt;"WKND", AY5, "")</f>
        <v>40.64583333333335</v>
      </c>
      <c r="BB5" s="379">
        <f>IF($AE5&lt;&gt;"WKND", AZ5, "")</f>
        <v>40.020833333333321</v>
      </c>
      <c r="BC5" s="321"/>
      <c r="BD5" s="424">
        <f>AD5</f>
        <v>43263</v>
      </c>
      <c r="BE5" s="425">
        <f ca="1">OFFSET('DIR1'!$BI$38, MATCH(BF5, 'DIR1'!BI$39:$BI$86, 0), -1)</f>
        <v>0.7708333333333327</v>
      </c>
      <c r="BF5" s="379">
        <f>MAX('DIR1'!BI39:BI86)</f>
        <v>48.6</v>
      </c>
      <c r="BG5" s="321"/>
      <c r="BH5" s="430">
        <f ca="1">OFFSET('DIR2'!$BI$38, MATCH(BI5, 'DIR2'!BI$39:$BI$86, 0), -1)</f>
        <v>0.52083333333333359</v>
      </c>
      <c r="BI5" s="379">
        <f>MAX('DIR2'!BI39:BI86)</f>
        <v>45.4</v>
      </c>
      <c r="BJ5" s="321"/>
      <c r="BK5" s="326">
        <f>'DIR1'!AD114</f>
        <v>49.582142857142863</v>
      </c>
      <c r="BL5" s="327">
        <f>'DIR2'!AD114</f>
        <v>47.75185185185186</v>
      </c>
      <c r="BM5" s="306">
        <f>IF($AE5&lt;&gt;"WKND", BK5, "")</f>
        <v>49.582142857142863</v>
      </c>
      <c r="BN5" s="306">
        <f>IF($AE5&lt;&gt;"WKND", BL5, "")</f>
        <v>47.75185185185186</v>
      </c>
      <c r="BO5" s="307"/>
      <c r="BP5" s="326">
        <f>'DIR1'!AD111</f>
        <v>49.461538461538467</v>
      </c>
      <c r="BQ5" s="327">
        <f>'DIR2'!AD111</f>
        <v>47.75185185185186</v>
      </c>
      <c r="BR5" s="306">
        <f>IF($AE5&lt;&gt;"WKND", BP5, "")</f>
        <v>49.461538461538467</v>
      </c>
      <c r="BS5" s="306">
        <f>IF($AE5&lt;&gt;"WKND", BQ5, "")</f>
        <v>47.75185185185186</v>
      </c>
      <c r="BT5" s="289"/>
      <c r="BU5" s="282">
        <v>0</v>
      </c>
      <c r="BV5" s="282">
        <v>0</v>
      </c>
      <c r="BW5" s="287"/>
      <c r="BX5" s="282" t="s">
        <v>242</v>
      </c>
      <c r="BY5" s="282" t="s">
        <v>249</v>
      </c>
      <c r="BZ5" s="296"/>
      <c r="CA5" s="282">
        <v>1</v>
      </c>
      <c r="CB5" s="282">
        <v>402</v>
      </c>
      <c r="CC5" s="290">
        <f>AVERAGE(AQ5:AQ11)</f>
        <v>654</v>
      </c>
      <c r="CD5" s="290">
        <f>AVERAGE(AR5:AR11)</f>
        <v>619.71428571428567</v>
      </c>
      <c r="CF5" s="282" t="s">
        <v>145</v>
      </c>
      <c r="CG5" s="282" t="s">
        <v>146</v>
      </c>
      <c r="CH5" s="371" t="s">
        <v>353</v>
      </c>
      <c r="CI5" s="373" t="str">
        <f>IF(D11&lt;&gt;"", D11&amp;"bound", "")</f>
        <v>eastbound</v>
      </c>
      <c r="CJ5" s="278"/>
      <c r="CK5" s="286">
        <f>SUM(AG5:AH5)</f>
        <v>1334</v>
      </c>
      <c r="CL5" s="435">
        <f>AD5</f>
        <v>43263</v>
      </c>
      <c r="CM5" s="278"/>
      <c r="CN5" s="699">
        <f>'DIR1'!BR122</f>
        <v>57.2</v>
      </c>
      <c r="CO5" s="662">
        <f>'DIR1'!BS122</f>
        <v>48.4</v>
      </c>
      <c r="CP5" s="662">
        <f>'DIR1'!BT122</f>
        <v>56.2</v>
      </c>
      <c r="CQ5" s="662">
        <f>'DIR1'!BU122</f>
        <v>58.1</v>
      </c>
      <c r="CR5" s="662" t="str">
        <f>'DIR1'!BV122</f>
        <v/>
      </c>
      <c r="CS5" s="662" t="str">
        <f>'DIR1'!BW122</f>
        <v/>
      </c>
      <c r="CT5" s="700">
        <f>'DIR1'!BX122</f>
        <v>59.6</v>
      </c>
    </row>
    <row r="6" spans="2:98" ht="15" x14ac:dyDescent="0.2">
      <c r="B6" s="249" t="s">
        <v>138</v>
      </c>
      <c r="C6" s="251"/>
      <c r="D6" s="175">
        <v>43263</v>
      </c>
      <c r="E6" s="267" t="str">
        <f>IF(AC13&gt;0, AC13&amp;" days","undefined")</f>
        <v>7 days</v>
      </c>
      <c r="F6" s="169"/>
      <c r="G6" s="495"/>
      <c r="H6" s="281"/>
      <c r="AA6" s="283">
        <v>30</v>
      </c>
      <c r="AB6" s="288" t="s">
        <v>408</v>
      </c>
      <c r="AC6" s="547">
        <f t="shared" si="1"/>
        <v>1</v>
      </c>
      <c r="AD6" s="505">
        <f>AD5+1</f>
        <v>43264</v>
      </c>
      <c r="AE6" s="502" t="str">
        <f t="shared" si="2"/>
        <v>NEUTRAL</v>
      </c>
      <c r="AF6" s="346"/>
      <c r="AG6" s="336">
        <f>'DIR1'!B221</f>
        <v>748</v>
      </c>
      <c r="AH6" s="337">
        <f>'DIR2'!B221</f>
        <v>745</v>
      </c>
      <c r="AI6" s="311">
        <f t="shared" ref="AI6:AJ11" si="3">IF($AE6&lt;&gt;"WKND", AG6, "")</f>
        <v>748</v>
      </c>
      <c r="AJ6" s="383">
        <f t="shared" si="3"/>
        <v>745</v>
      </c>
      <c r="AK6" s="312"/>
      <c r="AL6" s="336">
        <f>'DIR1'!B218</f>
        <v>607</v>
      </c>
      <c r="AM6" s="337">
        <f>'DIR2'!B218</f>
        <v>616</v>
      </c>
      <c r="AN6" s="311">
        <f t="shared" ref="AN6:AN11" si="4">IF($AE6&lt;&gt;"WKND", AL6, "")</f>
        <v>607</v>
      </c>
      <c r="AO6" s="383">
        <f t="shared" ref="AO6:AO11" si="5">IF($AE6&lt;&gt;"WKND", AM6, "")</f>
        <v>616</v>
      </c>
      <c r="AP6" s="312"/>
      <c r="AQ6" s="383">
        <f>IF(COUNT('DIR1'!BA35:BA98)=64,SUM('DIR1'!BA35:BA98),"")</f>
        <v>725</v>
      </c>
      <c r="AR6" s="383">
        <f>IF(COUNT('DIR2'!BA35:BA98)=64,SUM('DIR2'!BA35:BA98),"")</f>
        <v>716</v>
      </c>
      <c r="AS6" s="312"/>
      <c r="AT6" s="300">
        <f>'DIR1'!AC221</f>
        <v>40.668354430379736</v>
      </c>
      <c r="AU6" s="301">
        <f>'DIR2'!AC221</f>
        <v>40.118666666666677</v>
      </c>
      <c r="AV6" s="304">
        <f t="shared" ref="AV6:AV11" si="6">IF($AE6&lt;&gt;"WKND", AT6, "")</f>
        <v>40.668354430379736</v>
      </c>
      <c r="AW6" s="380">
        <f t="shared" ref="AW6:AW11" si="7">IF($AE6&lt;&gt;"WKND", AU6, "")</f>
        <v>40.118666666666677</v>
      </c>
      <c r="AX6" s="321"/>
      <c r="AY6" s="300">
        <f>'DIR1'!AC218</f>
        <v>38.435416666666676</v>
      </c>
      <c r="AZ6" s="301">
        <f>'DIR2'!AC218</f>
        <v>38.981250000000003</v>
      </c>
      <c r="BA6" s="304">
        <f t="shared" ref="BA6:BA11" si="8">IF($AE6&lt;&gt;"WKND", AY6, "")</f>
        <v>38.435416666666676</v>
      </c>
      <c r="BB6" s="380">
        <f t="shared" ref="BB6:BB11" si="9">IF($AE6&lt;&gt;"WKND", AZ6, "")</f>
        <v>38.981250000000003</v>
      </c>
      <c r="BC6" s="321"/>
      <c r="BD6" s="426">
        <f t="shared" ref="BD6:BD11" si="10">AD6</f>
        <v>43264</v>
      </c>
      <c r="BE6" s="427">
        <f ca="1">OFFSET('DIR1'!$BJ$38, MATCH(BF6, 'DIR1'!BJ$39:$BJ$86, 0), -2)</f>
        <v>0.30208333333333331</v>
      </c>
      <c r="BF6" s="380">
        <f>MAX('DIR1'!BJ39:BJ86)</f>
        <v>50.6</v>
      </c>
      <c r="BG6" s="321"/>
      <c r="BH6" s="431">
        <f ca="1">OFFSET('DIR2'!$BJ$38, MATCH(BI6, 'DIR2'!BJ$39:$BJ$86, 0), -2)</f>
        <v>0.29166666666666663</v>
      </c>
      <c r="BI6" s="380">
        <f>MAX('DIR2'!BJ39:BJ86)</f>
        <v>47.5</v>
      </c>
      <c r="BJ6" s="321"/>
      <c r="BK6" s="328">
        <f>'DIR1'!AD221</f>
        <v>49.234482758620686</v>
      </c>
      <c r="BL6" s="329">
        <f>'DIR2'!AD221</f>
        <v>46.592857142857149</v>
      </c>
      <c r="BM6" s="307">
        <f t="shared" ref="BM6:BN11" si="11">IF($AE6&lt;&gt;"WKND", BK6, "")</f>
        <v>49.234482758620686</v>
      </c>
      <c r="BN6" s="307">
        <f t="shared" si="11"/>
        <v>46.592857142857149</v>
      </c>
      <c r="BO6" s="307"/>
      <c r="BP6" s="328">
        <f>'DIR1'!AD218</f>
        <v>48.56</v>
      </c>
      <c r="BQ6" s="329">
        <f>'DIR2'!AD218</f>
        <v>46.303999999999995</v>
      </c>
      <c r="BR6" s="307">
        <f t="shared" ref="BR6:BR11" si="12">IF($AE6&lt;&gt;"WKND", BP6, "")</f>
        <v>48.56</v>
      </c>
      <c r="BS6" s="307">
        <f t="shared" ref="BS6:BS11" si="13">IF($AE6&lt;&gt;"WKND", BQ6, "")</f>
        <v>46.303999999999995</v>
      </c>
      <c r="BT6" s="289"/>
      <c r="BU6" s="283">
        <v>10</v>
      </c>
      <c r="BV6" s="283">
        <v>2000</v>
      </c>
      <c r="BW6" s="287"/>
      <c r="BX6" s="283" t="s">
        <v>243</v>
      </c>
      <c r="BY6" s="283" t="s">
        <v>248</v>
      </c>
      <c r="BZ6" s="296"/>
      <c r="CA6" s="283">
        <v>2</v>
      </c>
      <c r="CB6" s="283">
        <v>366</v>
      </c>
      <c r="CC6" s="172"/>
      <c r="CD6" s="172"/>
      <c r="CE6" s="172"/>
      <c r="CF6" s="283" t="s">
        <v>147</v>
      </c>
      <c r="CG6" s="283" t="s">
        <v>148</v>
      </c>
      <c r="CH6" s="372" t="s">
        <v>354</v>
      </c>
      <c r="CI6" s="374" t="str">
        <f>IF(D12&lt;&gt;"",D12&amp;"bound", "")</f>
        <v>westbound</v>
      </c>
      <c r="CJ6" s="278"/>
      <c r="CK6" s="287">
        <f t="shared" ref="CK6:CK11" si="14">SUM(AG6:AH6)</f>
        <v>1493</v>
      </c>
      <c r="CL6" s="436">
        <f t="shared" ref="CL6:CL11" si="15">AD6</f>
        <v>43264</v>
      </c>
      <c r="CM6" s="278"/>
      <c r="CN6" s="701">
        <f>'DIR1'!BR123</f>
        <v>45.25</v>
      </c>
      <c r="CO6" s="178">
        <f>'DIR1'!BS123</f>
        <v>46.4</v>
      </c>
      <c r="CP6" s="178">
        <f>'DIR1'!BT123</f>
        <v>57.4</v>
      </c>
      <c r="CQ6" s="178">
        <f>'DIR1'!BU123</f>
        <v>47.8</v>
      </c>
      <c r="CR6" s="178" t="str">
        <f>'DIR1'!BV123</f>
        <v/>
      </c>
      <c r="CS6" s="178" t="str">
        <f>'DIR1'!BW123</f>
        <v/>
      </c>
      <c r="CT6" s="702">
        <f>'DIR1'!BX123</f>
        <v>51.8</v>
      </c>
    </row>
    <row r="7" spans="2:98" ht="15" customHeight="1" x14ac:dyDescent="0.2">
      <c r="B7" s="249" t="s">
        <v>139</v>
      </c>
      <c r="C7" s="250"/>
      <c r="D7" s="158" t="s">
        <v>284</v>
      </c>
      <c r="E7" s="254"/>
      <c r="F7" s="169"/>
      <c r="H7" s="281"/>
      <c r="AA7" s="283">
        <v>40</v>
      </c>
      <c r="AB7" s="278"/>
      <c r="AC7" s="547">
        <f t="shared" si="1"/>
        <v>1</v>
      </c>
      <c r="AD7" s="505">
        <f t="shared" ref="AD7:AD11" si="16">AD6+1</f>
        <v>43265</v>
      </c>
      <c r="AE7" s="502" t="str">
        <f t="shared" si="2"/>
        <v>NEUTRAL</v>
      </c>
      <c r="AF7" s="346"/>
      <c r="AG7" s="336">
        <f>'DIR1'!B328</f>
        <v>692</v>
      </c>
      <c r="AH7" s="337">
        <f>'DIR2'!B328</f>
        <v>683</v>
      </c>
      <c r="AI7" s="311">
        <f t="shared" si="3"/>
        <v>692</v>
      </c>
      <c r="AJ7" s="383">
        <f t="shared" si="3"/>
        <v>683</v>
      </c>
      <c r="AK7" s="312"/>
      <c r="AL7" s="336">
        <f>'DIR1'!B325</f>
        <v>541</v>
      </c>
      <c r="AM7" s="337">
        <f>'DIR2'!B325</f>
        <v>560</v>
      </c>
      <c r="AN7" s="311">
        <f t="shared" si="4"/>
        <v>541</v>
      </c>
      <c r="AO7" s="383">
        <f t="shared" si="5"/>
        <v>560</v>
      </c>
      <c r="AP7" s="312"/>
      <c r="AQ7" s="383">
        <f>IF(COUNT('DIR1'!BB35:BB98)=64,SUM('DIR1'!BB35:BB98),"")</f>
        <v>670</v>
      </c>
      <c r="AR7" s="383">
        <f>IF(COUNT('DIR2'!BB35:BB98)=64,SUM('DIR2'!BB35:BB98),"")</f>
        <v>654</v>
      </c>
      <c r="AS7" s="312"/>
      <c r="AT7" s="300">
        <f>'DIR1'!AC328</f>
        <v>40.704000000000001</v>
      </c>
      <c r="AU7" s="301">
        <f>'DIR2'!AC328</f>
        <v>40.844736842105277</v>
      </c>
      <c r="AV7" s="304">
        <f t="shared" si="6"/>
        <v>40.704000000000001</v>
      </c>
      <c r="AW7" s="380">
        <f t="shared" si="7"/>
        <v>40.844736842105277</v>
      </c>
      <c r="AX7" s="321"/>
      <c r="AY7" s="300">
        <f>'DIR1'!AC325</f>
        <v>38.75833333333334</v>
      </c>
      <c r="AZ7" s="301">
        <f>'DIR2'!AC325</f>
        <v>39.65</v>
      </c>
      <c r="BA7" s="304">
        <f t="shared" si="8"/>
        <v>38.75833333333334</v>
      </c>
      <c r="BB7" s="380">
        <f t="shared" si="9"/>
        <v>39.65</v>
      </c>
      <c r="BC7" s="321"/>
      <c r="BD7" s="426">
        <f t="shared" si="10"/>
        <v>43265</v>
      </c>
      <c r="BE7" s="427">
        <f ca="1">OFFSET('DIR1'!$BK$38, MATCH(BF7, 'DIR1'!BK$39:$BK$86, 0), -3)</f>
        <v>0.30208333333333331</v>
      </c>
      <c r="BF7" s="380">
        <f>MAX('DIR1'!BK39:BK86)</f>
        <v>48.4</v>
      </c>
      <c r="BG7" s="321"/>
      <c r="BH7" s="431">
        <f ca="1">OFFSET('DIR2'!$BK$38, MATCH(BI7, 'DIR2'!BK$39:$BK$86, 0), -3)</f>
        <v>0.52083333333333359</v>
      </c>
      <c r="BI7" s="380">
        <f>MAX('DIR2'!BK39:BK86)</f>
        <v>49.9</v>
      </c>
      <c r="BJ7" s="321"/>
      <c r="BK7" s="328">
        <f>'DIR1'!AD328</f>
        <v>48.965384615384622</v>
      </c>
      <c r="BL7" s="329">
        <f>'DIR2'!AD328</f>
        <v>47.503846153846148</v>
      </c>
      <c r="BM7" s="307">
        <f t="shared" si="11"/>
        <v>48.965384615384622</v>
      </c>
      <c r="BN7" s="307">
        <f t="shared" si="11"/>
        <v>47.503846153846148</v>
      </c>
      <c r="BO7" s="307"/>
      <c r="BP7" s="328">
        <f>'DIR1'!AD325</f>
        <v>47.890476190476186</v>
      </c>
      <c r="BQ7" s="329">
        <f>'DIR2'!AD325</f>
        <v>47.472000000000001</v>
      </c>
      <c r="BR7" s="307">
        <f t="shared" si="12"/>
        <v>47.890476190476186</v>
      </c>
      <c r="BS7" s="307">
        <f t="shared" si="13"/>
        <v>47.472000000000001</v>
      </c>
      <c r="BT7" s="289"/>
      <c r="BU7" s="283">
        <v>20</v>
      </c>
      <c r="BV7" s="283">
        <v>4000</v>
      </c>
      <c r="BW7" s="287"/>
      <c r="BX7" s="283" t="s">
        <v>244</v>
      </c>
      <c r="BY7" s="283" t="s">
        <v>247</v>
      </c>
      <c r="BZ7" s="296"/>
      <c r="CA7" s="283">
        <v>3</v>
      </c>
      <c r="CB7" s="283">
        <v>394</v>
      </c>
      <c r="CC7" s="295" t="s">
        <v>323</v>
      </c>
      <c r="CD7" s="295" t="s">
        <v>324</v>
      </c>
      <c r="CE7" s="172"/>
      <c r="CF7" s="283" t="s">
        <v>149</v>
      </c>
      <c r="CG7" s="283" t="s">
        <v>150</v>
      </c>
      <c r="CH7" s="278"/>
      <c r="CI7" s="278"/>
      <c r="CJ7" s="278"/>
      <c r="CK7" s="287">
        <f t="shared" si="14"/>
        <v>1375</v>
      </c>
      <c r="CL7" s="436">
        <f t="shared" si="15"/>
        <v>43265</v>
      </c>
      <c r="CM7" s="278"/>
      <c r="CN7" s="701">
        <f>'DIR1'!BR124</f>
        <v>45</v>
      </c>
      <c r="CO7" s="178" t="str">
        <f>'DIR1'!BS124</f>
        <v/>
      </c>
      <c r="CP7" s="178">
        <f>'DIR1'!BT124</f>
        <v>45.4</v>
      </c>
      <c r="CQ7" s="178">
        <f>'DIR1'!BU124</f>
        <v>38.4</v>
      </c>
      <c r="CR7" s="178">
        <f>'DIR1'!BV124</f>
        <v>44.8</v>
      </c>
      <c r="CS7" s="178" t="str">
        <f>'DIR1'!BW124</f>
        <v/>
      </c>
      <c r="CT7" s="702">
        <f>'DIR1'!BX124</f>
        <v>43.45</v>
      </c>
    </row>
    <row r="8" spans="2:98" ht="15" x14ac:dyDescent="0.2">
      <c r="B8" s="249" t="s">
        <v>140</v>
      </c>
      <c r="C8" s="251" t="str">
        <f>IF(OR('DIR1'!AE120="",'DIR2'!AE120&lt;&gt;'DIR1'!AE120, 'DIR1'!AE120&lt;&gt;D8),"ERROR","")</f>
        <v/>
      </c>
      <c r="D8" s="159">
        <v>60</v>
      </c>
      <c r="E8" s="483" t="str">
        <f>MROUND(AY17, 10)&amp;"mph"</f>
        <v>40mph</v>
      </c>
      <c r="F8" s="169"/>
      <c r="H8" s="281"/>
      <c r="AA8" s="283">
        <v>50</v>
      </c>
      <c r="AB8" s="418">
        <f>SUM('DIR2'!AP139,'DIR2'!AP139)</f>
        <v>694</v>
      </c>
      <c r="AC8" s="547">
        <f t="shared" si="1"/>
        <v>1</v>
      </c>
      <c r="AD8" s="505">
        <f t="shared" si="16"/>
        <v>43266</v>
      </c>
      <c r="AE8" s="502" t="str">
        <f t="shared" si="2"/>
        <v>NON</v>
      </c>
      <c r="AF8" s="346"/>
      <c r="AG8" s="336">
        <f>'DIR1'!B435</f>
        <v>779</v>
      </c>
      <c r="AH8" s="337">
        <f>'DIR2'!B435</f>
        <v>747</v>
      </c>
      <c r="AI8" s="311">
        <f t="shared" si="3"/>
        <v>779</v>
      </c>
      <c r="AJ8" s="383">
        <f t="shared" si="3"/>
        <v>747</v>
      </c>
      <c r="AK8" s="312"/>
      <c r="AL8" s="336">
        <f>'DIR1'!B432</f>
        <v>634</v>
      </c>
      <c r="AM8" s="337">
        <f>'DIR2'!B432</f>
        <v>623</v>
      </c>
      <c r="AN8" s="311">
        <f t="shared" si="4"/>
        <v>634</v>
      </c>
      <c r="AO8" s="383">
        <f t="shared" si="5"/>
        <v>623</v>
      </c>
      <c r="AP8" s="312"/>
      <c r="AQ8" s="383">
        <f>IF(COUNT('DIR1'!BC35:BC98)=64,SUM('DIR1'!BC35:BC98),"")</f>
        <v>745</v>
      </c>
      <c r="AR8" s="383">
        <f>IF(COUNT('DIR2'!BC35:BC98)=64,SUM('DIR2'!BC35:BC98),"")</f>
        <v>718</v>
      </c>
      <c r="AS8" s="312"/>
      <c r="AT8" s="300">
        <f>'DIR1'!AC435</f>
        <v>42.526506024096392</v>
      </c>
      <c r="AU8" s="301">
        <f>'DIR2'!AC435</f>
        <v>41.658227848101269</v>
      </c>
      <c r="AV8" s="304">
        <f t="shared" si="6"/>
        <v>42.526506024096392</v>
      </c>
      <c r="AW8" s="380">
        <f t="shared" si="7"/>
        <v>41.658227848101269</v>
      </c>
      <c r="AX8" s="321"/>
      <c r="AY8" s="300">
        <f>'DIR1'!AC432</f>
        <v>40.443750000000016</v>
      </c>
      <c r="AZ8" s="301">
        <f>'DIR2'!AC432</f>
        <v>40.077083333333341</v>
      </c>
      <c r="BA8" s="304">
        <f t="shared" si="8"/>
        <v>40.443750000000016</v>
      </c>
      <c r="BB8" s="380">
        <f t="shared" si="9"/>
        <v>40.077083333333341</v>
      </c>
      <c r="BC8" s="321"/>
      <c r="BD8" s="426">
        <f t="shared" si="10"/>
        <v>43266</v>
      </c>
      <c r="BE8" s="427">
        <f ca="1">OFFSET('DIR1'!$BL$38, MATCH(BF8, 'DIR1'!BL$39:$BL$86, 0), -4)</f>
        <v>0.71874999999999956</v>
      </c>
      <c r="BF8" s="380">
        <f>MAX('DIR1'!BL39:BL86)</f>
        <v>46.5</v>
      </c>
      <c r="BG8" s="321"/>
      <c r="BH8" s="431">
        <f ca="1">OFFSET('DIR2'!$BL$38, MATCH(BI8, 'DIR2'!BL$39:$BL$86, 0), -4)</f>
        <v>0.3125</v>
      </c>
      <c r="BI8" s="380">
        <f>MAX('DIR2'!BL39:BL86)</f>
        <v>48.4</v>
      </c>
      <c r="BJ8" s="321"/>
      <c r="BK8" s="328">
        <f>'DIR1'!AD435</f>
        <v>49.982352941176472</v>
      </c>
      <c r="BL8" s="329">
        <f>'DIR2'!AD435</f>
        <v>47.824137931034485</v>
      </c>
      <c r="BM8" s="307">
        <f t="shared" si="11"/>
        <v>49.982352941176472</v>
      </c>
      <c r="BN8" s="307">
        <f t="shared" si="11"/>
        <v>47.824137931034485</v>
      </c>
      <c r="BO8" s="307"/>
      <c r="BP8" s="328">
        <f>'DIR1'!AD432</f>
        <v>49.266666666666673</v>
      </c>
      <c r="BQ8" s="329">
        <f>'DIR2'!AD432</f>
        <v>47.592592592592595</v>
      </c>
      <c r="BR8" s="307">
        <f t="shared" si="12"/>
        <v>49.266666666666673</v>
      </c>
      <c r="BS8" s="307">
        <f t="shared" si="13"/>
        <v>47.592592592592595</v>
      </c>
      <c r="BT8" s="289"/>
      <c r="BU8" s="283">
        <v>30</v>
      </c>
      <c r="BV8" s="283">
        <v>6000</v>
      </c>
      <c r="BW8" s="287"/>
      <c r="BX8" s="283" t="s">
        <v>245</v>
      </c>
      <c r="BY8" s="283" t="s">
        <v>246</v>
      </c>
      <c r="BZ8" s="296"/>
      <c r="CA8" s="283">
        <v>4</v>
      </c>
      <c r="CB8" s="283">
        <v>360</v>
      </c>
      <c r="CC8" s="291">
        <f>VLOOKUP(MONTH(D6),CA5:CB16,2)*CC5</f>
        <v>229554</v>
      </c>
      <c r="CD8" s="291">
        <f>VLOOKUP(MONTH(D6),CA5:CB16,2)*CD5</f>
        <v>217519.71428571426</v>
      </c>
      <c r="CE8" s="172"/>
      <c r="CF8" s="283" t="s">
        <v>151</v>
      </c>
      <c r="CG8" s="287" t="s">
        <v>152</v>
      </c>
      <c r="CH8" s="487" t="s">
        <v>393</v>
      </c>
      <c r="CI8" s="488" t="s">
        <v>246</v>
      </c>
      <c r="CJ8" s="278"/>
      <c r="CK8" s="287">
        <f t="shared" si="14"/>
        <v>1526</v>
      </c>
      <c r="CL8" s="436">
        <f t="shared" si="15"/>
        <v>43266</v>
      </c>
      <c r="CM8" s="278"/>
      <c r="CN8" s="701">
        <f>'DIR1'!BR125</f>
        <v>43.35</v>
      </c>
      <c r="CO8" s="178" t="str">
        <f>'DIR1'!BS125</f>
        <v/>
      </c>
      <c r="CP8" s="178" t="str">
        <f>'DIR1'!BT125</f>
        <v/>
      </c>
      <c r="CQ8" s="178" t="str">
        <f>'DIR1'!BU125</f>
        <v/>
      </c>
      <c r="CR8" s="178">
        <f>'DIR1'!BV125</f>
        <v>46.9</v>
      </c>
      <c r="CS8" s="178">
        <f>'DIR1'!BW125</f>
        <v>40.200000000000003</v>
      </c>
      <c r="CT8" s="702">
        <f>'DIR1'!BX125</f>
        <v>44.55</v>
      </c>
    </row>
    <row r="9" spans="2:98" ht="15" x14ac:dyDescent="0.2">
      <c r="B9" s="249" t="s">
        <v>141</v>
      </c>
      <c r="C9" s="250"/>
      <c r="D9" s="160" t="s">
        <v>232</v>
      </c>
      <c r="E9" s="254"/>
      <c r="F9" s="169"/>
      <c r="H9" s="281"/>
      <c r="AA9" s="283">
        <v>60</v>
      </c>
      <c r="AB9" s="419">
        <f>AB8/AG14</f>
        <v>7.4824797843665775E-2</v>
      </c>
      <c r="AC9" s="547">
        <f t="shared" si="1"/>
        <v>1</v>
      </c>
      <c r="AD9" s="505">
        <f t="shared" si="16"/>
        <v>43267</v>
      </c>
      <c r="AE9" s="502" t="str">
        <f t="shared" si="2"/>
        <v>WKND</v>
      </c>
      <c r="AF9" s="346"/>
      <c r="AG9" s="336">
        <f>'DIR1'!B542</f>
        <v>589</v>
      </c>
      <c r="AH9" s="337">
        <f>'DIR2'!B542</f>
        <v>523</v>
      </c>
      <c r="AI9" s="311" t="str">
        <f t="shared" si="3"/>
        <v/>
      </c>
      <c r="AJ9" s="383" t="str">
        <f t="shared" si="3"/>
        <v/>
      </c>
      <c r="AK9" s="312"/>
      <c r="AL9" s="336">
        <f>'DIR1'!B539</f>
        <v>484</v>
      </c>
      <c r="AM9" s="337">
        <f>'DIR2'!B539</f>
        <v>436</v>
      </c>
      <c r="AN9" s="311" t="str">
        <f t="shared" si="4"/>
        <v/>
      </c>
      <c r="AO9" s="383" t="str">
        <f t="shared" si="5"/>
        <v/>
      </c>
      <c r="AP9" s="312"/>
      <c r="AQ9" s="383">
        <f>IF(COUNT('DIR1'!BD35:BD98)=64,SUM('DIR1'!BD35:BD98),"")</f>
        <v>556</v>
      </c>
      <c r="AR9" s="383">
        <f>IF(COUNT('DIR2'!BD35:BD98)=64,SUM('DIR2'!BD35:BD98),"")</f>
        <v>495</v>
      </c>
      <c r="AS9" s="312"/>
      <c r="AT9" s="300">
        <f>'DIR1'!AC542</f>
        <v>39.353164556962007</v>
      </c>
      <c r="AU9" s="301">
        <f>'DIR2'!AC542</f>
        <v>39.281481481481471</v>
      </c>
      <c r="AV9" s="304" t="str">
        <f t="shared" si="6"/>
        <v/>
      </c>
      <c r="AW9" s="380" t="str">
        <f t="shared" si="7"/>
        <v/>
      </c>
      <c r="AX9" s="321"/>
      <c r="AY9" s="300">
        <f>'DIR1'!AC539</f>
        <v>38.854166666666657</v>
      </c>
      <c r="AZ9" s="301">
        <f>'DIR2'!AC539</f>
        <v>38.533333333333324</v>
      </c>
      <c r="BA9" s="304" t="str">
        <f t="shared" si="8"/>
        <v/>
      </c>
      <c r="BB9" s="380" t="str">
        <f t="shared" si="9"/>
        <v/>
      </c>
      <c r="BC9" s="321"/>
      <c r="BD9" s="426">
        <f t="shared" si="10"/>
        <v>43267</v>
      </c>
      <c r="BE9" s="427">
        <f ca="1">OFFSET('DIR1'!$BM$38, MATCH(BF9, 'DIR1'!BM$39:$BM$86, 0), -5)</f>
        <v>0.43750000000000022</v>
      </c>
      <c r="BF9" s="380">
        <f>MAX('DIR1'!BM39:BM86)</f>
        <v>47.5</v>
      </c>
      <c r="BG9" s="321"/>
      <c r="BH9" s="431">
        <f ca="1">OFFSET('DIR2'!$BM$38, MATCH(BI9, 'DIR2'!BM$39:$BM$86, 0), -5)</f>
        <v>0.55208333333333348</v>
      </c>
      <c r="BI9" s="380">
        <f>MAX('DIR2'!BM39:BM86)</f>
        <v>49.1</v>
      </c>
      <c r="BJ9" s="321"/>
      <c r="BK9" s="328">
        <f>'DIR1'!AD542</f>
        <v>45.786363636363632</v>
      </c>
      <c r="BL9" s="329">
        <f>'DIR2'!AD542</f>
        <v>47.128571428571426</v>
      </c>
      <c r="BM9" s="307" t="str">
        <f t="shared" si="11"/>
        <v/>
      </c>
      <c r="BN9" s="307" t="str">
        <f t="shared" si="11"/>
        <v/>
      </c>
      <c r="BO9" s="307"/>
      <c r="BP9" s="328">
        <f>'DIR1'!AD539</f>
        <v>45.466666666666661</v>
      </c>
      <c r="BQ9" s="329">
        <f>'DIR2'!AD539</f>
        <v>47.128571428571426</v>
      </c>
      <c r="BR9" s="307" t="str">
        <f t="shared" si="12"/>
        <v/>
      </c>
      <c r="BS9" s="307" t="str">
        <f t="shared" si="13"/>
        <v/>
      </c>
      <c r="BT9" s="289"/>
      <c r="BU9" s="283">
        <v>40</v>
      </c>
      <c r="BV9" s="283">
        <v>8000</v>
      </c>
      <c r="BW9" s="287"/>
      <c r="BX9" s="284" t="s">
        <v>249</v>
      </c>
      <c r="BY9" s="284" t="s">
        <v>242</v>
      </c>
      <c r="BZ9" s="296"/>
      <c r="CA9" s="283">
        <v>5</v>
      </c>
      <c r="CB9" s="283">
        <v>349</v>
      </c>
      <c r="CC9" s="172"/>
      <c r="CD9" s="172"/>
      <c r="CE9" s="172"/>
      <c r="CF9" s="283" t="s">
        <v>153</v>
      </c>
      <c r="CG9" s="287" t="s">
        <v>154</v>
      </c>
      <c r="CH9" s="489" t="s">
        <v>394</v>
      </c>
      <c r="CI9" s="490" t="s">
        <v>242</v>
      </c>
      <c r="CJ9" s="278"/>
      <c r="CK9" s="287">
        <f t="shared" si="14"/>
        <v>1112</v>
      </c>
      <c r="CL9" s="436">
        <f t="shared" si="15"/>
        <v>43267</v>
      </c>
      <c r="CM9" s="278"/>
      <c r="CN9" s="701">
        <f>'DIR1'!BR126</f>
        <v>46.55</v>
      </c>
      <c r="CO9" s="178">
        <f>'DIR1'!BS126</f>
        <v>44.150000000000006</v>
      </c>
      <c r="CP9" s="178" t="str">
        <f>'DIR1'!BT126</f>
        <v/>
      </c>
      <c r="CQ9" s="178">
        <f>'DIR1'!BU126</f>
        <v>46.524999999999999</v>
      </c>
      <c r="CR9" s="178">
        <f>'DIR1'!BV126</f>
        <v>44.5</v>
      </c>
      <c r="CS9" s="178">
        <f>'DIR1'!BW126</f>
        <v>42.199999999999996</v>
      </c>
      <c r="CT9" s="702">
        <f>'DIR1'!BX126</f>
        <v>49.1</v>
      </c>
    </row>
    <row r="10" spans="2:98" ht="15.75" customHeight="1" thickBot="1" x14ac:dyDescent="0.25">
      <c r="B10" s="249" t="s">
        <v>142</v>
      </c>
      <c r="C10" s="250"/>
      <c r="D10" s="192" t="s">
        <v>408</v>
      </c>
      <c r="E10" s="417" t="str">
        <f>IFERROR(IF(AB9 &gt;= 0.035, "yes", "no"), "undefined")</f>
        <v>yes</v>
      </c>
      <c r="F10" s="169"/>
      <c r="H10" s="281"/>
      <c r="AA10" s="284">
        <v>70</v>
      </c>
      <c r="AB10" s="280"/>
      <c r="AC10" s="547">
        <f t="shared" si="1"/>
        <v>1</v>
      </c>
      <c r="AD10" s="505">
        <f t="shared" si="16"/>
        <v>43268</v>
      </c>
      <c r="AE10" s="502" t="str">
        <f t="shared" si="2"/>
        <v>WKND</v>
      </c>
      <c r="AF10" s="346"/>
      <c r="AG10" s="336">
        <f>'DIR1'!B649</f>
        <v>562</v>
      </c>
      <c r="AH10" s="337">
        <f>'DIR2'!B649</f>
        <v>514</v>
      </c>
      <c r="AI10" s="311" t="str">
        <f t="shared" si="3"/>
        <v/>
      </c>
      <c r="AJ10" s="383" t="str">
        <f t="shared" si="3"/>
        <v/>
      </c>
      <c r="AK10" s="312"/>
      <c r="AL10" s="336">
        <f>'DIR1'!B646</f>
        <v>485</v>
      </c>
      <c r="AM10" s="337">
        <f>'DIR2'!B646</f>
        <v>439</v>
      </c>
      <c r="AN10" s="311" t="str">
        <f t="shared" si="4"/>
        <v/>
      </c>
      <c r="AO10" s="383" t="str">
        <f t="shared" si="5"/>
        <v/>
      </c>
      <c r="AP10" s="312"/>
      <c r="AQ10" s="383">
        <f>IF(COUNT('DIR1'!BE35:BE98)=64,SUM('DIR1'!BE35:BE98),"")</f>
        <v>548</v>
      </c>
      <c r="AR10" s="383">
        <f>IF(COUNT('DIR2'!BE35:BE98)=64,SUM('DIR2'!BE35:BE98),"")</f>
        <v>490</v>
      </c>
      <c r="AS10" s="312"/>
      <c r="AT10" s="300">
        <f>'DIR1'!AC649</f>
        <v>41.111111111111107</v>
      </c>
      <c r="AU10" s="301">
        <f>'DIR2'!AC649</f>
        <v>40.09746835443039</v>
      </c>
      <c r="AV10" s="304" t="str">
        <f t="shared" si="6"/>
        <v/>
      </c>
      <c r="AW10" s="380" t="str">
        <f t="shared" si="7"/>
        <v/>
      </c>
      <c r="AX10" s="321"/>
      <c r="AY10" s="300">
        <f>'DIR1'!AC646</f>
        <v>39.381250000000001</v>
      </c>
      <c r="AZ10" s="301">
        <f>'DIR2'!AC646</f>
        <v>39.104166666666664</v>
      </c>
      <c r="BA10" s="304" t="str">
        <f t="shared" si="8"/>
        <v/>
      </c>
      <c r="BB10" s="380" t="str">
        <f t="shared" si="9"/>
        <v/>
      </c>
      <c r="BC10" s="321"/>
      <c r="BD10" s="426">
        <f t="shared" si="10"/>
        <v>43268</v>
      </c>
      <c r="BE10" s="427">
        <f ca="1">OFFSET('DIR1'!$BN$38, MATCH(BF10, 'DIR1'!BN$39:$BN$86, 0), -6)</f>
        <v>0.29166666666666663</v>
      </c>
      <c r="BF10" s="380">
        <f>MAX('DIR1'!BN39:BN86)</f>
        <v>48.6</v>
      </c>
      <c r="BG10" s="321"/>
      <c r="BH10" s="431">
        <f ca="1">OFFSET('DIR2'!$BN$38, MATCH(BI10, 'DIR2'!BN$39:$BN$86, 0), -6)</f>
        <v>0.37500000000000011</v>
      </c>
      <c r="BI10" s="380">
        <f>MAX('DIR2'!BN39:BN86)</f>
        <v>45.1</v>
      </c>
      <c r="BJ10" s="321"/>
      <c r="BK10" s="328">
        <f>'DIR1'!AD649</f>
        <v>46.279999999999994</v>
      </c>
      <c r="BL10" s="329">
        <f>'DIR2'!AD649</f>
        <v>46.614285714285707</v>
      </c>
      <c r="BM10" s="307" t="str">
        <f t="shared" si="11"/>
        <v/>
      </c>
      <c r="BN10" s="307" t="str">
        <f t="shared" si="11"/>
        <v/>
      </c>
      <c r="BO10" s="307"/>
      <c r="BP10" s="328">
        <f>'DIR1'!AD646</f>
        <v>46.279999999999994</v>
      </c>
      <c r="BQ10" s="329">
        <f>'DIR2'!AD646</f>
        <v>46.614285714285707</v>
      </c>
      <c r="BR10" s="307" t="str">
        <f t="shared" si="12"/>
        <v/>
      </c>
      <c r="BS10" s="307" t="str">
        <f t="shared" si="13"/>
        <v/>
      </c>
      <c r="BT10" s="289"/>
      <c r="BU10" s="283">
        <v>50</v>
      </c>
      <c r="BV10" s="283">
        <v>10000</v>
      </c>
      <c r="BW10" s="278"/>
      <c r="BX10" s="278"/>
      <c r="BY10" s="278"/>
      <c r="BZ10" s="296"/>
      <c r="CA10" s="283">
        <v>6</v>
      </c>
      <c r="CB10" s="283">
        <v>351</v>
      </c>
      <c r="CC10" s="295" t="s">
        <v>325</v>
      </c>
      <c r="CD10" s="295" t="s">
        <v>326</v>
      </c>
      <c r="CE10" s="172"/>
      <c r="CF10" s="283" t="s">
        <v>155</v>
      </c>
      <c r="CG10" s="287" t="s">
        <v>156</v>
      </c>
      <c r="CH10" s="489" t="s">
        <v>395</v>
      </c>
      <c r="CI10" s="490" t="s">
        <v>243</v>
      </c>
      <c r="CJ10" s="278"/>
      <c r="CK10" s="287">
        <f t="shared" si="14"/>
        <v>1076</v>
      </c>
      <c r="CL10" s="436">
        <f t="shared" si="15"/>
        <v>43268</v>
      </c>
      <c r="CM10" s="278"/>
      <c r="CN10" s="701">
        <f>'DIR1'!BR127</f>
        <v>48.5</v>
      </c>
      <c r="CO10" s="178">
        <f>'DIR1'!BS127</f>
        <v>42.2</v>
      </c>
      <c r="CP10" s="178">
        <f>'DIR1'!BT127</f>
        <v>43.3</v>
      </c>
      <c r="CQ10" s="178">
        <f>'DIR1'!BU127</f>
        <v>52.174999999999997</v>
      </c>
      <c r="CR10" s="178">
        <f>'DIR1'!BV127</f>
        <v>48.033333333333331</v>
      </c>
      <c r="CS10" s="178">
        <f>'DIR1'!BW127</f>
        <v>48.075000000000003</v>
      </c>
      <c r="CT10" s="702">
        <f>'DIR1'!BX127</f>
        <v>51.6</v>
      </c>
    </row>
    <row r="11" spans="2:98" ht="15" customHeight="1" thickBot="1" x14ac:dyDescent="0.4">
      <c r="B11" s="245" t="s">
        <v>266</v>
      </c>
      <c r="C11" s="481" t="str">
        <f>CI17</f>
        <v>→</v>
      </c>
      <c r="D11" s="193" t="s">
        <v>243</v>
      </c>
      <c r="E11" s="246" t="str">
        <f>IF(D11&lt;&gt;"","bound","UNDEFINED")</f>
        <v>bound</v>
      </c>
      <c r="F11" s="161"/>
      <c r="H11" s="281"/>
      <c r="AA11" s="278"/>
      <c r="AB11" s="279"/>
      <c r="AC11" s="548">
        <f>IF(AND(SUM(AG11, AH11) &gt;= ($AG$17/5), SUM(AG11, AH11) &gt; 0), 1, 0)</f>
        <v>1</v>
      </c>
      <c r="AD11" s="506">
        <f t="shared" si="16"/>
        <v>43269</v>
      </c>
      <c r="AE11" s="503" t="str">
        <f t="shared" si="2"/>
        <v>NON</v>
      </c>
      <c r="AF11" s="346"/>
      <c r="AG11" s="338">
        <f>'DIR1'!B756</f>
        <v>696</v>
      </c>
      <c r="AH11" s="339">
        <f>'DIR2'!B756</f>
        <v>663</v>
      </c>
      <c r="AI11" s="313">
        <f t="shared" si="3"/>
        <v>696</v>
      </c>
      <c r="AJ11" s="384">
        <f t="shared" si="3"/>
        <v>663</v>
      </c>
      <c r="AK11" s="312"/>
      <c r="AL11" s="338">
        <f>'DIR1'!B753</f>
        <v>591</v>
      </c>
      <c r="AM11" s="339">
        <f>'DIR2'!B753</f>
        <v>559</v>
      </c>
      <c r="AN11" s="313">
        <f t="shared" si="4"/>
        <v>591</v>
      </c>
      <c r="AO11" s="384">
        <f t="shared" si="5"/>
        <v>559</v>
      </c>
      <c r="AP11" s="312"/>
      <c r="AQ11" s="384">
        <f>IF(COUNT('DIR1'!BF35:BF98)=64,SUM('DIR1'!BF35:BF98),"")</f>
        <v>670</v>
      </c>
      <c r="AR11" s="384">
        <f>IF(COUNT('DIR2'!BF35:BF98)=64,SUM('DIR2'!BF35:BF98),"")</f>
        <v>637</v>
      </c>
      <c r="AS11" s="312"/>
      <c r="AT11" s="302">
        <f>'DIR1'!AC756</f>
        <v>41.39863013698632</v>
      </c>
      <c r="AU11" s="303">
        <f>'DIR2'!AC756</f>
        <v>40.302597402597392</v>
      </c>
      <c r="AV11" s="320">
        <f t="shared" si="6"/>
        <v>41.39863013698632</v>
      </c>
      <c r="AW11" s="381">
        <f t="shared" si="7"/>
        <v>40.302597402597392</v>
      </c>
      <c r="AX11" s="321"/>
      <c r="AY11" s="302">
        <f>'DIR1'!AC753</f>
        <v>40.477083333333333</v>
      </c>
      <c r="AZ11" s="303">
        <f>'DIR2'!AC753</f>
        <v>39.689583333333331</v>
      </c>
      <c r="BA11" s="320">
        <f t="shared" si="8"/>
        <v>40.477083333333333</v>
      </c>
      <c r="BB11" s="381">
        <f t="shared" si="9"/>
        <v>39.689583333333331</v>
      </c>
      <c r="BC11" s="321"/>
      <c r="BD11" s="428">
        <f t="shared" si="10"/>
        <v>43269</v>
      </c>
      <c r="BE11" s="429">
        <f ca="1">OFFSET('DIR1'!$BO$38, MATCH(BF11, 'DIR1'!BO$39:$BO$86, 0), -7)</f>
        <v>0.57291666666666674</v>
      </c>
      <c r="BF11" s="381">
        <f>MAX('DIR1'!BO39:BO86)</f>
        <v>48.8</v>
      </c>
      <c r="BG11" s="321"/>
      <c r="BH11" s="432">
        <f ca="1">OFFSET('DIR2'!$BO$38, MATCH(BI11, 'DIR2'!BO$39:$BO$86, 0), -7)</f>
        <v>0.74999999999999944</v>
      </c>
      <c r="BI11" s="381">
        <f>MAX('DIR2'!BO39:BO86)</f>
        <v>48.1</v>
      </c>
      <c r="BJ11" s="321"/>
      <c r="BK11" s="330">
        <f>'DIR1'!AD756</f>
        <v>50.38333333333334</v>
      </c>
      <c r="BL11" s="331">
        <f>'DIR2'!AD756</f>
        <v>47.574999999999989</v>
      </c>
      <c r="BM11" s="308">
        <f t="shared" si="11"/>
        <v>50.38333333333334</v>
      </c>
      <c r="BN11" s="308">
        <f t="shared" si="11"/>
        <v>47.574999999999989</v>
      </c>
      <c r="BO11" s="307"/>
      <c r="BP11" s="330">
        <f>'DIR1'!AD753</f>
        <v>50.210344827586212</v>
      </c>
      <c r="BQ11" s="331">
        <f>'DIR2'!AD753</f>
        <v>47.574999999999989</v>
      </c>
      <c r="BR11" s="308">
        <f t="shared" si="12"/>
        <v>50.210344827586212</v>
      </c>
      <c r="BS11" s="308">
        <f t="shared" si="13"/>
        <v>47.574999999999989</v>
      </c>
      <c r="BT11" s="289"/>
      <c r="BU11" s="283">
        <v>60</v>
      </c>
      <c r="BV11" s="283">
        <v>12000</v>
      </c>
      <c r="BW11" s="278"/>
      <c r="BX11" s="278"/>
      <c r="BY11" s="278"/>
      <c r="BZ11" s="296"/>
      <c r="CA11" s="283">
        <v>7</v>
      </c>
      <c r="CB11" s="283">
        <v>350</v>
      </c>
      <c r="CC11" s="291">
        <f>CC8/CA17</f>
        <v>700.92824427480912</v>
      </c>
      <c r="CD11" s="291">
        <f>CD8/CA17</f>
        <v>664.18233369683742</v>
      </c>
      <c r="CE11" s="172"/>
      <c r="CF11" s="283" t="s">
        <v>157</v>
      </c>
      <c r="CG11" s="287" t="s">
        <v>158</v>
      </c>
      <c r="CH11" s="489" t="s">
        <v>396</v>
      </c>
      <c r="CI11" s="490" t="s">
        <v>244</v>
      </c>
      <c r="CJ11" s="278"/>
      <c r="CK11" s="288">
        <f t="shared" si="14"/>
        <v>1359</v>
      </c>
      <c r="CL11" s="437">
        <f t="shared" si="15"/>
        <v>43269</v>
      </c>
      <c r="CM11" s="278"/>
      <c r="CN11" s="701">
        <f>'DIR1'!BR128</f>
        <v>52.3</v>
      </c>
      <c r="CO11" s="178">
        <f>'DIR1'!BS128</f>
        <v>50.05</v>
      </c>
      <c r="CP11" s="178" t="str">
        <f>'DIR1'!BT128</f>
        <v/>
      </c>
      <c r="CQ11" s="178">
        <f>'DIR1'!BU128</f>
        <v>50</v>
      </c>
      <c r="CR11" s="178">
        <f>'DIR1'!BV128</f>
        <v>45.199999999999996</v>
      </c>
      <c r="CS11" s="178">
        <f>'DIR1'!BW128</f>
        <v>43.133333333333333</v>
      </c>
      <c r="CT11" s="702" t="str">
        <f>'DIR1'!BX128</f>
        <v/>
      </c>
    </row>
    <row r="12" spans="2:98" ht="15" customHeight="1" thickBot="1" x14ac:dyDescent="0.4">
      <c r="B12" s="406" t="s">
        <v>267</v>
      </c>
      <c r="C12" s="482" t="str">
        <f>CI18</f>
        <v>←</v>
      </c>
      <c r="D12" s="194" t="s">
        <v>248</v>
      </c>
      <c r="E12" s="542" t="str">
        <f>IF(D12&lt;&gt;"","bound","UNDEFINED")</f>
        <v>bound</v>
      </c>
      <c r="F12" s="161"/>
      <c r="H12" s="281"/>
      <c r="AA12" s="278"/>
      <c r="AB12" s="279"/>
      <c r="AC12" s="208" t="s">
        <v>355</v>
      </c>
      <c r="AG12" s="208" t="s">
        <v>333</v>
      </c>
      <c r="AI12" s="208" t="s">
        <v>333</v>
      </c>
      <c r="AJ12" s="305"/>
      <c r="AK12" s="305"/>
      <c r="AL12" s="208" t="s">
        <v>333</v>
      </c>
      <c r="AN12" s="208" t="s">
        <v>333</v>
      </c>
      <c r="AO12" s="305"/>
      <c r="AP12" s="305"/>
      <c r="AQ12" s="305"/>
      <c r="AR12" s="305"/>
      <c r="AS12" s="305"/>
      <c r="AV12" s="305"/>
      <c r="AW12" s="305"/>
      <c r="AX12" s="305"/>
      <c r="BA12" s="305"/>
      <c r="BB12" s="305"/>
      <c r="BC12" s="305"/>
      <c r="BD12" s="305"/>
      <c r="BE12" s="305"/>
      <c r="BF12" s="305"/>
      <c r="BG12" s="305"/>
      <c r="BH12" s="305"/>
      <c r="BI12" s="305"/>
      <c r="BJ12" s="305"/>
      <c r="BM12" s="305"/>
      <c r="BN12" s="305"/>
      <c r="BO12" s="305"/>
      <c r="BR12" s="305"/>
      <c r="BS12" s="305"/>
      <c r="BT12" s="296"/>
      <c r="BU12" s="284">
        <v>70</v>
      </c>
      <c r="BV12" s="284">
        <v>14000</v>
      </c>
      <c r="BW12" s="278"/>
      <c r="BX12" s="278"/>
      <c r="BY12" s="278"/>
      <c r="BZ12" s="172"/>
      <c r="CA12" s="283">
        <v>8</v>
      </c>
      <c r="CB12" s="283">
        <v>353</v>
      </c>
      <c r="CC12" s="172"/>
      <c r="CD12" s="172"/>
      <c r="CE12" s="172"/>
      <c r="CF12" s="283" t="s">
        <v>159</v>
      </c>
      <c r="CG12" s="287" t="s">
        <v>160</v>
      </c>
      <c r="CH12" s="489" t="s">
        <v>397</v>
      </c>
      <c r="CI12" s="490" t="s">
        <v>245</v>
      </c>
      <c r="CJ12" s="278"/>
      <c r="CK12" s="278"/>
      <c r="CL12" s="278"/>
      <c r="CM12" s="278"/>
      <c r="CN12" s="701">
        <f>'DIR1'!BR129</f>
        <v>50</v>
      </c>
      <c r="CO12" s="178">
        <f>'DIR1'!BS129</f>
        <v>47.924999999999997</v>
      </c>
      <c r="CP12" s="178">
        <f>'DIR1'!BT129</f>
        <v>43.2</v>
      </c>
      <c r="CQ12" s="178">
        <f>'DIR1'!BU129</f>
        <v>46.45</v>
      </c>
      <c r="CR12" s="178">
        <f>'DIR1'!BV129</f>
        <v>43.966666666666661</v>
      </c>
      <c r="CS12" s="178">
        <f>'DIR1'!BW129</f>
        <v>47.066666666666663</v>
      </c>
      <c r="CT12" s="702">
        <f>'DIR1'!BX129</f>
        <v>47.5</v>
      </c>
    </row>
    <row r="13" spans="2:98" ht="15" x14ac:dyDescent="0.2">
      <c r="B13" s="249" t="s">
        <v>292</v>
      </c>
      <c r="C13" s="250"/>
      <c r="D13" s="538" t="s">
        <v>439</v>
      </c>
      <c r="E13" s="543" t="str">
        <f t="shared" ref="E13:E15" si="17">IF(D13="","undefined","")</f>
        <v/>
      </c>
      <c r="F13" s="169"/>
      <c r="AA13" s="278"/>
      <c r="AB13" s="279"/>
      <c r="AC13" s="375">
        <f>SUM(AC5:AC11)</f>
        <v>7</v>
      </c>
      <c r="AG13" s="340">
        <f>SUM(AG5:AG11)</f>
        <v>4754</v>
      </c>
      <c r="AH13" s="341">
        <f>SUM(AH5:AH11)</f>
        <v>4521</v>
      </c>
      <c r="AI13" s="324">
        <f>SUM(AI5:AI11)</f>
        <v>3603</v>
      </c>
      <c r="AJ13" s="316">
        <f>SUM(AJ5:AJ11)</f>
        <v>3484</v>
      </c>
      <c r="AK13" s="312"/>
      <c r="AL13" s="340">
        <f>SUM(AL5:AL11)</f>
        <v>3916</v>
      </c>
      <c r="AM13" s="341">
        <f>SUM(AM5:AM11)</f>
        <v>3781</v>
      </c>
      <c r="AN13" s="388">
        <f>SUM(AN5:AN11)</f>
        <v>2947</v>
      </c>
      <c r="AO13" s="316">
        <f>SUM(AO5:AO11)</f>
        <v>2906</v>
      </c>
      <c r="AP13" s="312"/>
      <c r="AQ13" s="312"/>
      <c r="AR13" s="312"/>
      <c r="AS13" s="312"/>
      <c r="AT13" s="297"/>
      <c r="AU13" s="297"/>
      <c r="AV13" s="312"/>
      <c r="AW13" s="312"/>
      <c r="AX13" s="312"/>
      <c r="AY13" s="297"/>
      <c r="AZ13" s="297"/>
      <c r="BA13" s="312"/>
      <c r="BB13" s="312"/>
      <c r="BC13" s="312"/>
      <c r="BD13" s="312"/>
      <c r="BE13" s="312"/>
      <c r="BF13" s="312"/>
      <c r="BG13" s="312"/>
      <c r="BH13" s="312"/>
      <c r="BI13" s="312"/>
      <c r="BJ13" s="312"/>
      <c r="BM13" s="305"/>
      <c r="BN13" s="305"/>
      <c r="BO13" s="305"/>
      <c r="BR13" s="305"/>
      <c r="BS13" s="305"/>
      <c r="BT13" s="278"/>
      <c r="BY13" s="172"/>
      <c r="BZ13" s="172"/>
      <c r="CA13" s="283">
        <v>9</v>
      </c>
      <c r="CB13" s="283">
        <v>343</v>
      </c>
      <c r="CC13" s="797" t="s">
        <v>320</v>
      </c>
      <c r="CD13" s="797"/>
      <c r="CE13" s="172"/>
      <c r="CF13" s="283" t="s">
        <v>161</v>
      </c>
      <c r="CG13" s="287" t="s">
        <v>162</v>
      </c>
      <c r="CH13" s="489" t="s">
        <v>398</v>
      </c>
      <c r="CI13" s="490" t="s">
        <v>249</v>
      </c>
      <c r="CJ13" s="278"/>
      <c r="CK13" s="286" t="s">
        <v>391</v>
      </c>
      <c r="CL13" s="435">
        <f>INDEX(CL5:CL11,MATCH(MIN(CK5:CK11),CK5:CK11,FALSE),1)</f>
        <v>43268</v>
      </c>
      <c r="CM13" s="278"/>
      <c r="CN13" s="701">
        <f>'DIR1'!BR130</f>
        <v>48.8</v>
      </c>
      <c r="CO13" s="178">
        <f>'DIR1'!BS130</f>
        <v>48.2</v>
      </c>
      <c r="CP13" s="178">
        <f>'DIR1'!BT130</f>
        <v>41.833333333333336</v>
      </c>
      <c r="CQ13" s="178">
        <f>'DIR1'!BU130</f>
        <v>44.6</v>
      </c>
      <c r="CR13" s="178">
        <f>'DIR1'!BV130</f>
        <v>40.233333333333341</v>
      </c>
      <c r="CS13" s="178">
        <f>'DIR1'!BW130</f>
        <v>51.599999999999994</v>
      </c>
      <c r="CT13" s="702">
        <f>'DIR1'!BX130</f>
        <v>50.6</v>
      </c>
    </row>
    <row r="14" spans="2:98" ht="15" customHeight="1" thickBot="1" x14ac:dyDescent="0.3">
      <c r="B14" s="249" t="s">
        <v>403</v>
      </c>
      <c r="C14" s="250"/>
      <c r="D14" s="539" t="s">
        <v>440</v>
      </c>
      <c r="E14" s="544"/>
      <c r="F14" s="199"/>
      <c r="G14" s="272"/>
      <c r="AA14" s="278"/>
      <c r="AB14" s="278"/>
      <c r="AC14" s="278"/>
      <c r="AG14" s="789">
        <f>SUM(AG13:AH13)</f>
        <v>9275</v>
      </c>
      <c r="AH14" s="790"/>
      <c r="AI14" s="791">
        <f>SUM(AI13:AJ13)</f>
        <v>7087</v>
      </c>
      <c r="AJ14" s="792"/>
      <c r="AK14" s="312"/>
      <c r="AL14" s="789">
        <f>SUM(AL13:AM13)</f>
        <v>7697</v>
      </c>
      <c r="AM14" s="790"/>
      <c r="AN14" s="791">
        <f>SUM(AN13:AO13)</f>
        <v>5853</v>
      </c>
      <c r="AO14" s="792"/>
      <c r="AP14" s="312"/>
      <c r="AQ14" s="312"/>
      <c r="AR14" s="312"/>
      <c r="AS14" s="312"/>
      <c r="AT14" s="297"/>
      <c r="AU14" s="297"/>
      <c r="AV14" s="312"/>
      <c r="AW14" s="312"/>
      <c r="AX14" s="312"/>
      <c r="AY14" s="297"/>
      <c r="AZ14" s="297"/>
      <c r="BA14" s="312"/>
      <c r="BB14" s="312"/>
      <c r="BC14" s="312"/>
      <c r="BD14" s="312"/>
      <c r="BE14" s="312"/>
      <c r="BF14" s="312"/>
      <c r="BG14" s="312"/>
      <c r="BH14" s="312"/>
      <c r="BI14" s="312"/>
      <c r="BJ14" s="312"/>
      <c r="BM14" s="305"/>
      <c r="BN14" s="305"/>
      <c r="BO14" s="305"/>
      <c r="BR14" s="305"/>
      <c r="BS14" s="305"/>
      <c r="BU14" s="798" t="s">
        <v>434</v>
      </c>
      <c r="BV14" s="798" t="s">
        <v>435</v>
      </c>
      <c r="BY14" s="172"/>
      <c r="BZ14" s="172"/>
      <c r="CA14" s="283">
        <v>10</v>
      </c>
      <c r="CB14" s="283">
        <v>358</v>
      </c>
      <c r="CC14" s="795">
        <f>SUM(CC11:CD11)</f>
        <v>1365.1105779716465</v>
      </c>
      <c r="CD14" s="796"/>
      <c r="CE14" s="172"/>
      <c r="CF14" s="284" t="s">
        <v>163</v>
      </c>
      <c r="CG14" s="288" t="s">
        <v>164</v>
      </c>
      <c r="CH14" s="489" t="s">
        <v>399</v>
      </c>
      <c r="CI14" s="490" t="s">
        <v>248</v>
      </c>
      <c r="CJ14" s="278"/>
      <c r="CK14" s="288" t="s">
        <v>392</v>
      </c>
      <c r="CL14" s="437">
        <f>INDEX(CL5:CL11,MATCH(MAX(CK5:CK11),CK5:CK11,FALSE),1)</f>
        <v>43266</v>
      </c>
      <c r="CM14" s="278"/>
      <c r="CN14" s="701">
        <f>'DIR1'!BR131</f>
        <v>48.424999999999997</v>
      </c>
      <c r="CO14" s="178">
        <f>'DIR1'!BS131</f>
        <v>49.2</v>
      </c>
      <c r="CP14" s="178">
        <f>'DIR1'!BT131</f>
        <v>49.699999999999996</v>
      </c>
      <c r="CQ14" s="178">
        <f>'DIR1'!BU131</f>
        <v>51.475000000000001</v>
      </c>
      <c r="CR14" s="178">
        <f>'DIR1'!BV131</f>
        <v>46.349999999999994</v>
      </c>
      <c r="CS14" s="178" t="str">
        <f>'DIR1'!BW131</f>
        <v/>
      </c>
      <c r="CT14" s="702">
        <f>'DIR1'!BX131</f>
        <v>50.900000000000006</v>
      </c>
    </row>
    <row r="15" spans="2:98" ht="15.75" customHeight="1" thickBot="1" x14ac:dyDescent="0.3">
      <c r="B15" s="249" t="s">
        <v>402</v>
      </c>
      <c r="C15" s="250"/>
      <c r="D15" s="540" t="s">
        <v>441</v>
      </c>
      <c r="E15" s="544" t="str">
        <f t="shared" si="17"/>
        <v/>
      </c>
      <c r="F15" s="199"/>
      <c r="G15" s="272"/>
      <c r="AC15" s="208" t="s">
        <v>365</v>
      </c>
      <c r="AG15" s="208" t="s">
        <v>332</v>
      </c>
      <c r="AH15" s="294"/>
      <c r="AI15" s="208" t="s">
        <v>332</v>
      </c>
      <c r="AJ15" s="315"/>
      <c r="AK15" s="315"/>
      <c r="AL15" s="208" t="s">
        <v>332</v>
      </c>
      <c r="AM15" s="294"/>
      <c r="AN15" s="208" t="s">
        <v>332</v>
      </c>
      <c r="AO15" s="315"/>
      <c r="AP15" s="315"/>
      <c r="AQ15" s="315"/>
      <c r="AR15" s="315"/>
      <c r="AS15" s="315"/>
      <c r="AT15" s="208" t="s">
        <v>332</v>
      </c>
      <c r="AV15" s="208" t="s">
        <v>332</v>
      </c>
      <c r="AW15" s="305"/>
      <c r="AX15" s="305"/>
      <c r="AY15" s="208" t="s">
        <v>332</v>
      </c>
      <c r="BA15" s="208" t="s">
        <v>332</v>
      </c>
      <c r="BB15" s="305"/>
      <c r="BC15" s="305"/>
      <c r="BD15" s="305"/>
      <c r="BE15" s="305"/>
      <c r="BF15" s="305" t="s">
        <v>387</v>
      </c>
      <c r="BG15" s="305"/>
      <c r="BH15" s="305"/>
      <c r="BI15" s="305" t="s">
        <v>387</v>
      </c>
      <c r="BJ15" s="305"/>
      <c r="BK15" s="208" t="s">
        <v>332</v>
      </c>
      <c r="BM15" s="208" t="s">
        <v>332</v>
      </c>
      <c r="BN15" s="305"/>
      <c r="BO15" s="305"/>
      <c r="BP15" s="208" t="s">
        <v>332</v>
      </c>
      <c r="BR15" s="208" t="s">
        <v>332</v>
      </c>
      <c r="BS15" s="305"/>
      <c r="BU15" s="798"/>
      <c r="BV15" s="798"/>
      <c r="BY15" s="172"/>
      <c r="BZ15" s="172"/>
      <c r="CA15" s="283">
        <v>11</v>
      </c>
      <c r="CB15" s="283">
        <v>389</v>
      </c>
      <c r="CE15" s="172"/>
      <c r="CF15" s="172"/>
      <c r="CG15" s="172"/>
      <c r="CH15" s="372" t="s">
        <v>400</v>
      </c>
      <c r="CI15" s="491" t="s">
        <v>247</v>
      </c>
      <c r="CJ15" s="172"/>
      <c r="CK15" s="172"/>
      <c r="CL15" s="172"/>
      <c r="CM15" s="172"/>
      <c r="CN15" s="701">
        <f>'DIR1'!BR132</f>
        <v>53.574999999999996</v>
      </c>
      <c r="CO15" s="178">
        <f>'DIR1'!BS132</f>
        <v>53.774999999999991</v>
      </c>
      <c r="CP15" s="178">
        <f>'DIR1'!BT132</f>
        <v>51.3</v>
      </c>
      <c r="CQ15" s="178">
        <f>'DIR1'!BU132</f>
        <v>52.625</v>
      </c>
      <c r="CR15" s="178">
        <f>'DIR1'!BV132</f>
        <v>47.75</v>
      </c>
      <c r="CS15" s="178">
        <f>'DIR1'!BW132</f>
        <v>49.7</v>
      </c>
      <c r="CT15" s="702">
        <f>'DIR1'!BX132</f>
        <v>51.95</v>
      </c>
    </row>
    <row r="16" spans="2:98" ht="14.25" customHeight="1" thickBot="1" x14ac:dyDescent="0.25">
      <c r="B16" s="252" t="s">
        <v>144</v>
      </c>
      <c r="C16" s="253"/>
      <c r="D16" s="541">
        <v>43276</v>
      </c>
      <c r="E16" s="545" t="str">
        <f>IF(D16="","undefined","")</f>
        <v/>
      </c>
      <c r="AC16" s="375">
        <f>COUNTIF(AI5:AI11, "&gt;0")</f>
        <v>5</v>
      </c>
      <c r="AG16" s="340">
        <f t="shared" ref="AG16:BN16" si="18">AVERAGE(AG5:AG11)</f>
        <v>679.14285714285711</v>
      </c>
      <c r="AH16" s="341">
        <f t="shared" si="18"/>
        <v>645.85714285714289</v>
      </c>
      <c r="AI16" s="324">
        <f t="shared" si="18"/>
        <v>720.6</v>
      </c>
      <c r="AJ16" s="316">
        <f t="shared" si="18"/>
        <v>696.8</v>
      </c>
      <c r="AK16" s="408"/>
      <c r="AL16" s="409">
        <f t="shared" ref="AL16:AO16" si="19">AVERAGE(AL5:AL11)</f>
        <v>559.42857142857144</v>
      </c>
      <c r="AM16" s="410">
        <f t="shared" si="19"/>
        <v>540.14285714285711</v>
      </c>
      <c r="AN16" s="411">
        <f t="shared" si="19"/>
        <v>589.4</v>
      </c>
      <c r="AO16" s="412">
        <f t="shared" si="19"/>
        <v>581.20000000000005</v>
      </c>
      <c r="AP16" s="408"/>
      <c r="AQ16" s="312"/>
      <c r="AR16" s="312"/>
      <c r="AS16" s="312"/>
      <c r="AT16" s="317">
        <f t="shared" ref="AT16:AW16" si="20">AVERAGE(AT5:AT11)</f>
        <v>41.051680894219366</v>
      </c>
      <c r="AU16" s="325">
        <f t="shared" si="20"/>
        <v>40.463923472809732</v>
      </c>
      <c r="AV16" s="322">
        <f t="shared" si="20"/>
        <v>41.379498118292489</v>
      </c>
      <c r="AW16" s="378">
        <f t="shared" si="20"/>
        <v>40.77370289475126</v>
      </c>
      <c r="AX16" s="396"/>
      <c r="AY16" s="317">
        <f t="shared" ref="AY16:BB16" si="21">AVERAGE(AY5:AY11)</f>
        <v>39.57083333333334</v>
      </c>
      <c r="AZ16" s="325">
        <f t="shared" si="21"/>
        <v>39.436607142857142</v>
      </c>
      <c r="BA16" s="387">
        <f t="shared" si="21"/>
        <v>39.752083333333346</v>
      </c>
      <c r="BB16" s="378">
        <f t="shared" si="21"/>
        <v>39.683750000000003</v>
      </c>
      <c r="BC16" s="396"/>
      <c r="BD16" s="421">
        <f ca="1">OFFSET(BF4, MATCH(BF16, BF5:BF11, 0), -2)</f>
        <v>43264</v>
      </c>
      <c r="BE16" s="422">
        <f ca="1">OFFSET(BF4, MATCH(BF16, BF5:BF11, 0), -1)</f>
        <v>0.30208333333333331</v>
      </c>
      <c r="BF16" s="404">
        <f>MAX(BF5:BF11)</f>
        <v>50.6</v>
      </c>
      <c r="BG16" s="421">
        <f ca="1">OFFSET(BI4, MATCH(BI16, BI5:BI11, 0), -5)</f>
        <v>43265</v>
      </c>
      <c r="BH16" s="422">
        <f ca="1">OFFSET(BI4, MATCH(BI16, BI5:BI11, 0), -1)</f>
        <v>0.52083333333333359</v>
      </c>
      <c r="BI16" s="405">
        <f>MAX(BI5:BI11)</f>
        <v>49.9</v>
      </c>
      <c r="BJ16" s="423"/>
      <c r="BK16" s="332">
        <f t="shared" si="18"/>
        <v>48.602008591717372</v>
      </c>
      <c r="BL16" s="333">
        <f t="shared" si="18"/>
        <v>47.284364317492397</v>
      </c>
      <c r="BM16" s="323">
        <f t="shared" si="18"/>
        <v>49.629539301131594</v>
      </c>
      <c r="BN16" s="318">
        <f t="shared" si="18"/>
        <v>47.449538615917923</v>
      </c>
      <c r="BO16" s="397"/>
      <c r="BP16" s="332">
        <f t="shared" ref="BP16:BS16" si="22">AVERAGE(BP5:BP11)</f>
        <v>48.16224183041917</v>
      </c>
      <c r="BQ16" s="333">
        <f t="shared" si="22"/>
        <v>47.205471655328793</v>
      </c>
      <c r="BR16" s="386">
        <f t="shared" si="22"/>
        <v>49.077805229253514</v>
      </c>
      <c r="BS16" s="318">
        <f t="shared" si="22"/>
        <v>47.339088888888888</v>
      </c>
      <c r="BU16" s="694">
        <f>AVERAGE(BK5:BL5)</f>
        <v>48.666997354497362</v>
      </c>
      <c r="BV16" s="282">
        <f>SUM(AG5:AH5)</f>
        <v>1334</v>
      </c>
      <c r="BY16" s="172"/>
      <c r="BZ16" s="172"/>
      <c r="CA16" s="284">
        <v>12</v>
      </c>
      <c r="CB16" s="284">
        <v>415</v>
      </c>
      <c r="CE16" s="172"/>
      <c r="CF16" s="172"/>
      <c r="CG16" s="172"/>
      <c r="CH16" s="172"/>
      <c r="CI16" s="172"/>
      <c r="CJ16" s="172"/>
      <c r="CK16" s="286" t="s">
        <v>409</v>
      </c>
      <c r="CL16" s="500" t="str">
        <f ca="1">MID(D64, FIND("-",D64)+1, FIND(".",D64,4)-FIND("-",D64)-1)</f>
        <v xml:space="preserve">01 </v>
      </c>
      <c r="CM16" s="172"/>
      <c r="CN16" s="703">
        <f>'DIR1'!BR133</f>
        <v>53.166666666666664</v>
      </c>
      <c r="CO16" s="667">
        <f>'DIR1'!BS133</f>
        <v>52.1</v>
      </c>
      <c r="CP16" s="667">
        <f>'DIR1'!BT133</f>
        <v>48.35</v>
      </c>
      <c r="CQ16" s="667">
        <f>'DIR1'!BU133</f>
        <v>50.599999999999994</v>
      </c>
      <c r="CR16" s="667">
        <f>'DIR1'!BV133</f>
        <v>51.2</v>
      </c>
      <c r="CS16" s="667">
        <f>'DIR1'!BW133</f>
        <v>53.1</v>
      </c>
      <c r="CT16" s="704">
        <f>'DIR1'!BX133</f>
        <v>52.5</v>
      </c>
    </row>
    <row r="17" spans="2:98" ht="15" customHeight="1" thickBot="1" x14ac:dyDescent="0.3">
      <c r="B17" s="200"/>
      <c r="D17" s="162"/>
      <c r="AG17" s="789">
        <f>SUM(AG16:AH16)</f>
        <v>1325</v>
      </c>
      <c r="AH17" s="790"/>
      <c r="AI17" s="791">
        <f>SUM(AI16:AJ16)</f>
        <v>1417.4</v>
      </c>
      <c r="AJ17" s="792"/>
      <c r="AK17" s="312"/>
      <c r="AL17" s="789">
        <f>SUM(AL16:AM16)</f>
        <v>1099.5714285714284</v>
      </c>
      <c r="AM17" s="790"/>
      <c r="AN17" s="791">
        <f>SUM(AN16:AO16)</f>
        <v>1170.5999999999999</v>
      </c>
      <c r="AO17" s="792"/>
      <c r="AP17" s="312"/>
      <c r="AQ17" s="312"/>
      <c r="AR17" s="312"/>
      <c r="AS17" s="312"/>
      <c r="AT17" s="800">
        <f>AVERAGE(AT16:AU16)</f>
        <v>40.757802183514549</v>
      </c>
      <c r="AU17" s="801"/>
      <c r="AV17" s="806">
        <f>AVERAGE(AV16:AW16)</f>
        <v>41.076600506521871</v>
      </c>
      <c r="AW17" s="807"/>
      <c r="AX17" s="321"/>
      <c r="AY17" s="800">
        <f>AVERAGE(AY16:AZ16)</f>
        <v>39.503720238095241</v>
      </c>
      <c r="AZ17" s="801"/>
      <c r="BA17" s="806">
        <f>AVERAGE(BA16:BB16)</f>
        <v>39.717916666666675</v>
      </c>
      <c r="BB17" s="807"/>
      <c r="BC17" s="321"/>
      <c r="BD17" s="321"/>
      <c r="BE17" s="321"/>
      <c r="BF17" s="321"/>
      <c r="BG17" s="321"/>
      <c r="BH17" s="321"/>
      <c r="BI17" s="321"/>
      <c r="BJ17" s="321"/>
      <c r="BK17" s="804">
        <f>AVERAGE(BK16:BL16)</f>
        <v>47.943186454604884</v>
      </c>
      <c r="BL17" s="805"/>
      <c r="BM17" s="802">
        <f>AVERAGE(BM16:BN16)</f>
        <v>48.539538958524759</v>
      </c>
      <c r="BN17" s="803"/>
      <c r="BO17" s="397"/>
      <c r="BP17" s="804">
        <f>AVERAGE(BP16:BQ16)</f>
        <v>47.683856742873985</v>
      </c>
      <c r="BQ17" s="805"/>
      <c r="BR17" s="802">
        <f>AVERAGE(BR16:BS16)</f>
        <v>48.208447059071204</v>
      </c>
      <c r="BS17" s="803"/>
      <c r="BU17" s="695">
        <f t="shared" ref="BU17:BU22" si="23">AVERAGE(BK6:BL6)</f>
        <v>47.913669950738921</v>
      </c>
      <c r="BV17" s="283">
        <f t="shared" ref="BV17:BV22" si="24">SUM(AG6:AH6)</f>
        <v>1493</v>
      </c>
      <c r="BY17" s="172"/>
      <c r="BZ17" s="172"/>
      <c r="CA17" s="285">
        <v>327.5</v>
      </c>
      <c r="CB17" s="172"/>
      <c r="CE17" s="172"/>
      <c r="CF17" s="172"/>
      <c r="CG17" s="172"/>
      <c r="CH17" s="371" t="s">
        <v>353</v>
      </c>
      <c r="CI17" s="492" t="str">
        <f>IFERROR(INDEX(CH8:CH15,MATCH(D11,CI8:CI15,FALSE),1), "X")</f>
        <v>→</v>
      </c>
      <c r="CJ17" s="172"/>
      <c r="CK17" s="288" t="s">
        <v>410</v>
      </c>
      <c r="CL17" s="499" t="str">
        <f ca="1">LEFT(D20, 5)</f>
        <v>18225</v>
      </c>
      <c r="CM17" s="172"/>
    </row>
    <row r="18" spans="2:98" ht="30" customHeight="1" thickBot="1" x14ac:dyDescent="0.25">
      <c r="B18" s="818" t="s">
        <v>230</v>
      </c>
      <c r="C18" s="819"/>
      <c r="D18" s="407"/>
      <c r="E18" s="255" t="str">
        <f>IF(C8="ERROR", "Check speed values", "")</f>
        <v/>
      </c>
      <c r="AA18" s="820" t="s">
        <v>366</v>
      </c>
      <c r="AB18" s="821"/>
      <c r="AC18" s="821"/>
      <c r="AD18" s="822"/>
      <c r="AG18" s="297"/>
      <c r="AH18" s="297"/>
      <c r="AI18" s="312"/>
      <c r="AJ18" s="312"/>
      <c r="BU18" s="695">
        <f t="shared" si="23"/>
        <v>48.234615384615381</v>
      </c>
      <c r="BV18" s="283">
        <f t="shared" si="24"/>
        <v>1375</v>
      </c>
      <c r="CH18" s="493" t="s">
        <v>354</v>
      </c>
      <c r="CI18" s="494" t="str">
        <f>IFERROR(INDEX(CH8:CH15,MATCH(D12,CI8:CI15,FALSE),1), "X")</f>
        <v>←</v>
      </c>
    </row>
    <row r="19" spans="2:98" ht="15" customHeight="1" thickBot="1" x14ac:dyDescent="0.3">
      <c r="B19" s="342"/>
      <c r="C19" s="169"/>
      <c r="D19" s="162"/>
      <c r="E19" s="169"/>
      <c r="AG19" s="784" t="s">
        <v>378</v>
      </c>
      <c r="AH19" s="788"/>
      <c r="AI19" s="788"/>
      <c r="AJ19" s="785"/>
      <c r="AK19" s="389"/>
      <c r="AL19" s="389"/>
      <c r="AM19" s="389"/>
      <c r="AN19" s="389"/>
      <c r="AO19" s="389"/>
      <c r="AP19" s="349"/>
      <c r="AQ19" s="389"/>
      <c r="AR19" s="389"/>
      <c r="AS19" s="389"/>
      <c r="AT19" s="295"/>
      <c r="AU19" s="295"/>
      <c r="AV19" s="295"/>
      <c r="AW19" s="295"/>
      <c r="AX19" s="385"/>
      <c r="AY19" s="385"/>
      <c r="AZ19" s="385"/>
      <c r="BA19" s="385"/>
      <c r="BB19" s="385"/>
      <c r="BC19" s="403"/>
      <c r="BD19" s="403"/>
      <c r="BE19" s="403"/>
      <c r="BF19" s="403"/>
      <c r="BG19" s="403"/>
      <c r="BH19" s="403"/>
      <c r="BI19" s="403"/>
      <c r="BJ19" s="349"/>
      <c r="BK19" s="794"/>
      <c r="BL19" s="794"/>
      <c r="BM19" s="794"/>
      <c r="BN19" s="794"/>
      <c r="BO19" s="385"/>
      <c r="BP19" s="385"/>
      <c r="BQ19" s="385"/>
      <c r="BR19" s="385"/>
      <c r="BS19" s="385"/>
      <c r="BU19" s="695">
        <f t="shared" si="23"/>
        <v>48.903245436105479</v>
      </c>
      <c r="BV19" s="283">
        <f t="shared" si="24"/>
        <v>1526</v>
      </c>
      <c r="CN19" s="698" t="str">
        <f>"PV2 "&amp;CI18</f>
        <v>PV2 ←</v>
      </c>
    </row>
    <row r="20" spans="2:98" ht="15" customHeight="1" thickBot="1" x14ac:dyDescent="0.25">
      <c r="B20" s="813" t="s">
        <v>299</v>
      </c>
      <c r="C20" s="814"/>
      <c r="D20" s="815" t="str">
        <f ca="1">REPLACE(LEFT(CELL("filename",A1),FIND("]",CELL("filename",A1))-1),1,FIND("[",CELL("filename",A1)),"")</f>
        <v>18225-01 . Plains Rd (W) GT TOTHAM . JUN 2018 (ATC).xlsx</v>
      </c>
      <c r="E20" s="816"/>
      <c r="AK20" s="389"/>
      <c r="AL20" s="389"/>
      <c r="AM20" s="389"/>
      <c r="AN20" s="389"/>
      <c r="AO20" s="389"/>
      <c r="AP20" s="349"/>
      <c r="AQ20" s="389"/>
      <c r="AR20" s="389"/>
      <c r="AS20" s="389"/>
      <c r="AT20" s="295"/>
      <c r="AU20" s="295"/>
      <c r="AV20" s="295"/>
      <c r="AW20" s="295"/>
      <c r="AX20" s="385"/>
      <c r="AY20" s="385"/>
      <c r="AZ20" s="385"/>
      <c r="BA20" s="385"/>
      <c r="BB20" s="385"/>
      <c r="BC20" s="403"/>
      <c r="BD20" s="403"/>
      <c r="BE20" s="403"/>
      <c r="BF20" s="403"/>
      <c r="BG20" s="403"/>
      <c r="BH20" s="403"/>
      <c r="BI20" s="403"/>
      <c r="BJ20" s="349"/>
      <c r="BK20" s="794"/>
      <c r="BL20" s="794"/>
      <c r="BM20" s="794"/>
      <c r="BN20" s="794"/>
      <c r="BO20" s="385"/>
      <c r="BP20" s="385"/>
      <c r="BQ20" s="385"/>
      <c r="BR20" s="385"/>
      <c r="BS20" s="385"/>
      <c r="BU20" s="695">
        <f t="shared" si="23"/>
        <v>46.457467532467533</v>
      </c>
      <c r="BV20" s="283">
        <f t="shared" si="24"/>
        <v>1112</v>
      </c>
    </row>
    <row r="21" spans="2:98" ht="15" customHeight="1" x14ac:dyDescent="0.25">
      <c r="B21" s="169"/>
      <c r="C21" s="342"/>
      <c r="D21" s="343"/>
      <c r="E21" s="169"/>
      <c r="AF21" s="344"/>
      <c r="AG21" s="794" t="s">
        <v>342</v>
      </c>
      <c r="AH21" s="794" t="s">
        <v>343</v>
      </c>
      <c r="AI21" s="794" t="s">
        <v>344</v>
      </c>
      <c r="AJ21" s="794" t="s">
        <v>345</v>
      </c>
      <c r="AK21" s="312"/>
      <c r="AL21" s="794" t="s">
        <v>411</v>
      </c>
      <c r="AM21" s="794" t="s">
        <v>412</v>
      </c>
      <c r="AN21" s="312"/>
      <c r="AO21" s="312"/>
      <c r="AP21" s="312"/>
      <c r="AQ21" s="312"/>
      <c r="AR21" s="312"/>
      <c r="AS21" s="312"/>
      <c r="AT21" s="295"/>
      <c r="AU21" s="295"/>
      <c r="BU21" s="695">
        <f t="shared" si="23"/>
        <v>46.44714285714285</v>
      </c>
      <c r="BV21" s="283">
        <f t="shared" si="24"/>
        <v>1076</v>
      </c>
      <c r="CN21" s="699">
        <f>'DIR2'!BR122</f>
        <v>50.724999999999994</v>
      </c>
      <c r="CO21" s="662">
        <f>'DIR2'!BS122</f>
        <v>49.65</v>
      </c>
      <c r="CP21" s="662">
        <f>'DIR2'!BT122</f>
        <v>51.099999999999994</v>
      </c>
      <c r="CQ21" s="662">
        <f>'DIR2'!BU122</f>
        <v>51.70000000000001</v>
      </c>
      <c r="CR21" s="662">
        <f>'DIR2'!BV122</f>
        <v>53.6</v>
      </c>
      <c r="CS21" s="662" t="str">
        <f>'DIR2'!BW122</f>
        <v/>
      </c>
      <c r="CT21" s="700">
        <f>'DIR2'!BX122</f>
        <v>50.224999999999994</v>
      </c>
    </row>
    <row r="22" spans="2:98" ht="15.75" thickBot="1" x14ac:dyDescent="0.3">
      <c r="B22" s="169"/>
      <c r="C22" s="342"/>
      <c r="D22" s="343"/>
      <c r="E22" s="169"/>
      <c r="AF22" s="344"/>
      <c r="AG22" s="794"/>
      <c r="AH22" s="794"/>
      <c r="AI22" s="794"/>
      <c r="AJ22" s="794"/>
      <c r="AK22" s="312"/>
      <c r="AL22" s="794"/>
      <c r="AM22" s="794"/>
      <c r="AN22" s="278"/>
      <c r="AO22" s="278"/>
      <c r="AP22" s="278"/>
      <c r="AQ22" s="312"/>
      <c r="AR22" s="312"/>
      <c r="AS22" s="312"/>
      <c r="AT22" s="295"/>
      <c r="AU22" s="295"/>
      <c r="BU22" s="696">
        <f t="shared" si="23"/>
        <v>48.979166666666664</v>
      </c>
      <c r="BV22" s="284">
        <f t="shared" si="24"/>
        <v>1359</v>
      </c>
      <c r="CN22" s="701">
        <f>'DIR2'!BR123</f>
        <v>48.325000000000003</v>
      </c>
      <c r="CO22" s="178">
        <f>'DIR2'!BS123</f>
        <v>46.7</v>
      </c>
      <c r="CP22" s="178">
        <f>'DIR2'!BT123</f>
        <v>46.825000000000003</v>
      </c>
      <c r="CQ22" s="178">
        <f>'DIR2'!BU123</f>
        <v>46.925000000000004</v>
      </c>
      <c r="CR22" s="178">
        <f>'DIR2'!BV123</f>
        <v>49.866666666666674</v>
      </c>
      <c r="CS22" s="178" t="str">
        <f>'DIR2'!BW123</f>
        <v/>
      </c>
      <c r="CT22" s="702">
        <f>'DIR2'!BX123</f>
        <v>45.650000000000006</v>
      </c>
    </row>
    <row r="23" spans="2:98" ht="15" x14ac:dyDescent="0.25">
      <c r="B23" s="169"/>
      <c r="C23" s="342"/>
      <c r="D23" s="343"/>
      <c r="E23" s="169"/>
      <c r="AE23" s="344">
        <f t="shared" ref="AE23:AE29" si="25">AD5</f>
        <v>43263</v>
      </c>
      <c r="AF23" s="344"/>
      <c r="AG23" s="355">
        <f>'DIR1'!AE114</f>
        <v>14</v>
      </c>
      <c r="AH23" s="356">
        <f>'DIR2'!AE114</f>
        <v>9</v>
      </c>
      <c r="AI23" s="310">
        <f t="shared" ref="AI23:AJ29" si="26">IF($AE5&lt;&gt;"WKND", AG23, "")</f>
        <v>14</v>
      </c>
      <c r="AJ23" s="309">
        <f t="shared" si="26"/>
        <v>9</v>
      </c>
      <c r="AK23" s="312"/>
      <c r="AL23" s="557" t="s">
        <v>413</v>
      </c>
      <c r="AM23" s="515" t="s">
        <v>413</v>
      </c>
      <c r="AN23" s="278"/>
      <c r="AO23" s="278"/>
      <c r="AP23" s="278"/>
      <c r="AQ23" s="312"/>
      <c r="AR23" s="312"/>
      <c r="AS23" s="312"/>
      <c r="BU23" s="693"/>
      <c r="CN23" s="701">
        <f>'DIR2'!BR124</f>
        <v>46.6</v>
      </c>
      <c r="CO23" s="178">
        <f>'DIR2'!BS124</f>
        <v>42.35</v>
      </c>
      <c r="CP23" s="178">
        <f>'DIR2'!BT124</f>
        <v>46.766666666666673</v>
      </c>
      <c r="CQ23" s="178">
        <f>'DIR2'!BU124</f>
        <v>48.333333333333336</v>
      </c>
      <c r="CR23" s="178">
        <f>'DIR2'!BV124</f>
        <v>43.2</v>
      </c>
      <c r="CS23" s="178">
        <f>'DIR2'!BW124</f>
        <v>49.3</v>
      </c>
      <c r="CT23" s="702">
        <f>'DIR2'!BX124</f>
        <v>46.275000000000006</v>
      </c>
    </row>
    <row r="24" spans="2:98" ht="15" x14ac:dyDescent="0.25">
      <c r="B24" s="169"/>
      <c r="C24" s="342"/>
      <c r="D24" s="343"/>
      <c r="E24" s="169"/>
      <c r="AE24" s="344">
        <f t="shared" si="25"/>
        <v>43264</v>
      </c>
      <c r="AF24" s="344"/>
      <c r="AG24" s="357">
        <f>'DIR1'!AE221</f>
        <v>9</v>
      </c>
      <c r="AH24" s="358">
        <f>'DIR2'!AE221</f>
        <v>7</v>
      </c>
      <c r="AI24" s="312">
        <f t="shared" si="26"/>
        <v>9</v>
      </c>
      <c r="AJ24" s="311">
        <f t="shared" si="26"/>
        <v>7</v>
      </c>
      <c r="AK24" s="312"/>
      <c r="AL24" s="519">
        <f>MAX('DIR1'!CU11:CU59)</f>
        <v>14.4</v>
      </c>
      <c r="AM24" s="518">
        <f>MAX('DIR2'!CU11:CU59)</f>
        <v>26.2</v>
      </c>
      <c r="AN24" s="278"/>
      <c r="AO24" s="278"/>
      <c r="AP24" s="278"/>
      <c r="AQ24" s="312"/>
      <c r="AR24" s="312"/>
      <c r="AS24" s="312"/>
      <c r="CN24" s="701">
        <f>'DIR2'!BR125</f>
        <v>48.099999999999994</v>
      </c>
      <c r="CO24" s="178">
        <f>'DIR2'!BS125</f>
        <v>47.75</v>
      </c>
      <c r="CP24" s="178">
        <f>'DIR2'!BT125</f>
        <v>45.45</v>
      </c>
      <c r="CQ24" s="178">
        <f>'DIR2'!BU125</f>
        <v>46.2</v>
      </c>
      <c r="CR24" s="178">
        <f>'DIR2'!BV125</f>
        <v>50.6</v>
      </c>
      <c r="CS24" s="178">
        <f>'DIR2'!BW125</f>
        <v>48.099999999999994</v>
      </c>
      <c r="CT24" s="702">
        <f>'DIR2'!BX125</f>
        <v>45.7</v>
      </c>
    </row>
    <row r="25" spans="2:98" ht="15" x14ac:dyDescent="0.25">
      <c r="B25" s="169"/>
      <c r="C25" s="342"/>
      <c r="D25" s="343"/>
      <c r="E25" s="169"/>
      <c r="AE25" s="344">
        <f t="shared" si="25"/>
        <v>43265</v>
      </c>
      <c r="AF25" s="344"/>
      <c r="AG25" s="357">
        <f>'DIR1'!AE328</f>
        <v>11</v>
      </c>
      <c r="AH25" s="358">
        <f>'DIR2'!AE328</f>
        <v>4</v>
      </c>
      <c r="AI25" s="312">
        <f t="shared" si="26"/>
        <v>11</v>
      </c>
      <c r="AJ25" s="311">
        <f t="shared" si="26"/>
        <v>4</v>
      </c>
      <c r="AK25" s="312"/>
      <c r="AL25" s="516">
        <f ca="1">OFFSET('DIR1'!CU10, MATCH(config!AL24, 'DIR1'!CU11:CU59, 0), 1)</f>
        <v>0.32291666666666669</v>
      </c>
      <c r="AM25" s="517">
        <f ca="1">OFFSET('DIR2'!CU10, MATCH(config!AM24, 'DIR2'!CU11:CU59, 0), 1)</f>
        <v>0.32291666666666669</v>
      </c>
      <c r="AN25" s="278"/>
      <c r="AO25" s="278"/>
      <c r="AP25" s="278"/>
      <c r="AQ25" s="312"/>
      <c r="AR25" s="312"/>
      <c r="AS25" s="312"/>
      <c r="CN25" s="701">
        <f>'DIR2'!BR126</f>
        <v>48.6</v>
      </c>
      <c r="CO25" s="178">
        <f>'DIR2'!BS126</f>
        <v>46.3</v>
      </c>
      <c r="CP25" s="178">
        <f>'DIR2'!BT126</f>
        <v>46.5</v>
      </c>
      <c r="CQ25" s="178">
        <f>'DIR2'!BU126</f>
        <v>47.25</v>
      </c>
      <c r="CR25" s="178">
        <f>'DIR2'!BV126</f>
        <v>49.4</v>
      </c>
      <c r="CS25" s="178">
        <f>'DIR2'!BW126</f>
        <v>41.9</v>
      </c>
      <c r="CT25" s="702">
        <f>'DIR2'!BX126</f>
        <v>48.066666666666663</v>
      </c>
    </row>
    <row r="26" spans="2:98" ht="15" x14ac:dyDescent="0.25">
      <c r="B26" s="169"/>
      <c r="C26" s="342"/>
      <c r="D26" s="343"/>
      <c r="E26" s="169"/>
      <c r="AE26" s="344">
        <f t="shared" si="25"/>
        <v>43266</v>
      </c>
      <c r="AF26" s="344"/>
      <c r="AG26" s="357">
        <f>'DIR1'!AE435</f>
        <v>17</v>
      </c>
      <c r="AH26" s="358">
        <f>'DIR2'!AE435</f>
        <v>9</v>
      </c>
      <c r="AI26" s="312">
        <f t="shared" si="26"/>
        <v>17</v>
      </c>
      <c r="AJ26" s="311">
        <f t="shared" si="26"/>
        <v>9</v>
      </c>
      <c r="AK26" s="312"/>
      <c r="AL26" s="516">
        <f ca="1">AL25+TIME(0,15,0)</f>
        <v>0.33333333333333337</v>
      </c>
      <c r="AM26" s="517">
        <f ca="1">AM25+TIME(0,15,0)</f>
        <v>0.33333333333333337</v>
      </c>
      <c r="AN26" s="278"/>
      <c r="AO26" s="278"/>
      <c r="AP26" s="278"/>
      <c r="AQ26" s="312"/>
      <c r="AR26" s="312"/>
      <c r="AS26" s="312"/>
      <c r="CN26" s="701">
        <f>'DIR2'!BR127</f>
        <v>42.1</v>
      </c>
      <c r="CO26" s="178">
        <f>'DIR2'!BS127</f>
        <v>40.700000000000003</v>
      </c>
      <c r="CP26" s="178">
        <f>'DIR2'!BT127</f>
        <v>43.150000000000006</v>
      </c>
      <c r="CQ26" s="178" t="str">
        <f>'DIR2'!BU127</f>
        <v/>
      </c>
      <c r="CR26" s="178">
        <f>'DIR2'!BV127</f>
        <v>42</v>
      </c>
      <c r="CS26" s="178">
        <f>'DIR2'!BW127</f>
        <v>45.2</v>
      </c>
      <c r="CT26" s="702" t="str">
        <f>'DIR2'!BX127</f>
        <v/>
      </c>
    </row>
    <row r="27" spans="2:98" ht="15" x14ac:dyDescent="0.25">
      <c r="B27" s="169"/>
      <c r="C27" s="342"/>
      <c r="D27" s="343"/>
      <c r="E27" s="169"/>
      <c r="AE27" s="344">
        <f t="shared" si="25"/>
        <v>43267</v>
      </c>
      <c r="AF27" s="344"/>
      <c r="AG27" s="357">
        <f>'DIR1'!AE542</f>
        <v>5</v>
      </c>
      <c r="AH27" s="358">
        <f>'DIR2'!AE542</f>
        <v>4</v>
      </c>
      <c r="AI27" s="312" t="str">
        <f t="shared" si="26"/>
        <v/>
      </c>
      <c r="AJ27" s="311" t="str">
        <f t="shared" si="26"/>
        <v/>
      </c>
      <c r="AK27" s="312"/>
      <c r="AL27" s="558" t="s">
        <v>414</v>
      </c>
      <c r="AM27" s="559" t="s">
        <v>414</v>
      </c>
      <c r="AN27" s="278"/>
      <c r="AO27" s="278"/>
      <c r="AP27" s="278"/>
      <c r="AQ27" s="312"/>
      <c r="AR27" s="312"/>
      <c r="AS27" s="312"/>
      <c r="CN27" s="701" t="str">
        <f>'DIR2'!BR128</f>
        <v/>
      </c>
      <c r="CO27" s="178" t="str">
        <f>'DIR2'!BS128</f>
        <v/>
      </c>
      <c r="CP27" s="178" t="str">
        <f>'DIR2'!BT128</f>
        <v/>
      </c>
      <c r="CQ27" s="178">
        <f>'DIR2'!BU128</f>
        <v>42.366666666666667</v>
      </c>
      <c r="CR27" s="178">
        <f>'DIR2'!BV128</f>
        <v>48.199999999999996</v>
      </c>
      <c r="CS27" s="178">
        <f>'DIR2'!BW128</f>
        <v>46.8</v>
      </c>
      <c r="CT27" s="702" t="str">
        <f>'DIR2'!BX128</f>
        <v/>
      </c>
    </row>
    <row r="28" spans="2:98" ht="15" x14ac:dyDescent="0.25">
      <c r="B28" s="169"/>
      <c r="C28" s="342"/>
      <c r="D28" s="348"/>
      <c r="E28" s="169"/>
      <c r="AE28" s="344">
        <f t="shared" si="25"/>
        <v>43268</v>
      </c>
      <c r="AF28" s="344"/>
      <c r="AG28" s="357">
        <f>'DIR1'!AE649</f>
        <v>8</v>
      </c>
      <c r="AH28" s="358">
        <f>'DIR2'!AE649</f>
        <v>3</v>
      </c>
      <c r="AI28" s="312" t="str">
        <f t="shared" si="26"/>
        <v/>
      </c>
      <c r="AJ28" s="311" t="str">
        <f t="shared" si="26"/>
        <v/>
      </c>
      <c r="AK28" s="376"/>
      <c r="AL28" s="519">
        <f>MAX('DIR1'!CU60:CU106)</f>
        <v>25</v>
      </c>
      <c r="AM28" s="520">
        <f>MAX('DIR2'!CU60:CU106)</f>
        <v>13.8</v>
      </c>
      <c r="AN28" s="376"/>
      <c r="AO28" s="376"/>
      <c r="AP28" s="376"/>
      <c r="AQ28" s="376"/>
      <c r="AR28" s="376"/>
      <c r="AS28" s="376"/>
      <c r="CN28" s="701">
        <f>'DIR2'!BR129</f>
        <v>50.1</v>
      </c>
      <c r="CO28" s="178">
        <f>'DIR2'!BS129</f>
        <v>47.7</v>
      </c>
      <c r="CP28" s="178" t="str">
        <f>'DIR2'!BT129</f>
        <v/>
      </c>
      <c r="CQ28" s="178">
        <f>'DIR2'!BU129</f>
        <v>43.85</v>
      </c>
      <c r="CR28" s="178" t="str">
        <f>'DIR2'!BV129</f>
        <v/>
      </c>
      <c r="CS28" s="178" t="str">
        <f>'DIR2'!BW129</f>
        <v/>
      </c>
      <c r="CT28" s="702">
        <f>'DIR2'!BX129</f>
        <v>49.8</v>
      </c>
    </row>
    <row r="29" spans="2:98" ht="15.75" thickBot="1" x14ac:dyDescent="0.3">
      <c r="B29" s="169"/>
      <c r="C29" s="342"/>
      <c r="D29" s="348"/>
      <c r="E29" s="169"/>
      <c r="AE29" s="344">
        <f t="shared" si="25"/>
        <v>43269</v>
      </c>
      <c r="AF29" s="344"/>
      <c r="AG29" s="359">
        <f>'DIR1'!AE756</f>
        <v>12</v>
      </c>
      <c r="AH29" s="360">
        <f>'DIR2'!AE756</f>
        <v>4</v>
      </c>
      <c r="AI29" s="314">
        <f t="shared" si="26"/>
        <v>12</v>
      </c>
      <c r="AJ29" s="313">
        <f t="shared" si="26"/>
        <v>4</v>
      </c>
      <c r="AK29" s="376"/>
      <c r="AL29" s="516">
        <f ca="1">OFFSET('DIR1'!CU59, MATCH(config!AL28, 'DIR1'!CU60:CU106, 0), 1)</f>
        <v>0.71874999999999956</v>
      </c>
      <c r="AM29" s="517">
        <f ca="1">OFFSET('DIR2'!CU59, MATCH(config!AM28, 'DIR2'!CU60:CU106, 0), 1)</f>
        <v>0.70833333333333293</v>
      </c>
      <c r="AN29" s="376"/>
      <c r="AO29" s="376"/>
      <c r="AP29" s="376"/>
      <c r="AQ29" s="376"/>
      <c r="AR29" s="376"/>
      <c r="AS29" s="376"/>
      <c r="CN29" s="701">
        <f>'DIR2'!BR130</f>
        <v>48.05</v>
      </c>
      <c r="CO29" s="178">
        <f>'DIR2'!BS130</f>
        <v>48.166666666666664</v>
      </c>
      <c r="CP29" s="178">
        <f>'DIR2'!BT130</f>
        <v>48.266666666666673</v>
      </c>
      <c r="CQ29" s="178">
        <f>'DIR2'!BU130</f>
        <v>50.1</v>
      </c>
      <c r="CR29" s="178" t="str">
        <f>'DIR2'!BV130</f>
        <v/>
      </c>
      <c r="CS29" s="178">
        <f>'DIR2'!BW130</f>
        <v>47.65</v>
      </c>
      <c r="CT29" s="702">
        <f>'DIR2'!BX130</f>
        <v>48.9</v>
      </c>
    </row>
    <row r="30" spans="2:98" ht="15.75" thickBot="1" x14ac:dyDescent="0.3">
      <c r="B30" s="169"/>
      <c r="C30" s="342"/>
      <c r="D30" s="343"/>
      <c r="E30" s="169"/>
      <c r="AE30" s="344" t="s">
        <v>351</v>
      </c>
      <c r="AG30" s="347">
        <f>SUM(AG23:AG29)</f>
        <v>76</v>
      </c>
      <c r="AH30" s="347">
        <f>SUM(AH23:AH29)</f>
        <v>40</v>
      </c>
      <c r="AI30" s="354">
        <f>SUM(AI23:AI29)</f>
        <v>63</v>
      </c>
      <c r="AJ30" s="354">
        <f>SUM(AJ23:AJ29)</f>
        <v>33</v>
      </c>
      <c r="AL30" s="521">
        <f ca="1">AL29+TIME(0,15,0)</f>
        <v>0.72916666666666619</v>
      </c>
      <c r="AM30" s="522">
        <f ca="1">AM29+TIME(0,15,0)</f>
        <v>0.71874999999999956</v>
      </c>
      <c r="CN30" s="701">
        <f>'DIR2'!BR131</f>
        <v>45.25</v>
      </c>
      <c r="CO30" s="178">
        <f>'DIR2'!BS131</f>
        <v>44.6</v>
      </c>
      <c r="CP30" s="178">
        <f>'DIR2'!BT131</f>
        <v>46.733333333333327</v>
      </c>
      <c r="CQ30" s="178">
        <f>'DIR2'!BU131</f>
        <v>48.900000000000006</v>
      </c>
      <c r="CR30" s="178">
        <f>'DIR2'!BV131</f>
        <v>42.4</v>
      </c>
      <c r="CS30" s="178">
        <f>'DIR2'!BW131</f>
        <v>47.6</v>
      </c>
      <c r="CT30" s="702">
        <f>'DIR2'!BX131</f>
        <v>43.95</v>
      </c>
    </row>
    <row r="31" spans="2:98" ht="15" customHeight="1" x14ac:dyDescent="0.25">
      <c r="B31" s="169"/>
      <c r="C31" s="342"/>
      <c r="D31" s="343"/>
      <c r="E31" s="169"/>
      <c r="AE31" s="344"/>
      <c r="AG31" s="793">
        <f>SUM(AG30:AH30)</f>
        <v>116</v>
      </c>
      <c r="AH31" s="793"/>
      <c r="AI31" s="793">
        <f>SUM(AI30:AJ30)</f>
        <v>96</v>
      </c>
      <c r="AJ31" s="793"/>
      <c r="AK31" s="389"/>
      <c r="AL31" s="507"/>
      <c r="AM31" s="507"/>
      <c r="AN31" s="507"/>
      <c r="AO31" s="507"/>
      <c r="AP31" s="507"/>
      <c r="AQ31" s="389"/>
      <c r="AR31" s="389"/>
      <c r="AS31" s="389"/>
      <c r="CN31" s="701">
        <f>'DIR2'!BR132</f>
        <v>45.900000000000006</v>
      </c>
      <c r="CO31" s="178">
        <f>'DIR2'!BS132</f>
        <v>51.9</v>
      </c>
      <c r="CP31" s="178">
        <f>'DIR2'!BT132</f>
        <v>49.8</v>
      </c>
      <c r="CQ31" s="178">
        <f>'DIR2'!BU132</f>
        <v>48.05</v>
      </c>
      <c r="CR31" s="178" t="str">
        <f>'DIR2'!BV132</f>
        <v/>
      </c>
      <c r="CS31" s="178">
        <f>'DIR2'!BW132</f>
        <v>43.8</v>
      </c>
      <c r="CT31" s="702">
        <f>'DIR2'!BX132</f>
        <v>50.333333333333336</v>
      </c>
    </row>
    <row r="32" spans="2:98" ht="15" x14ac:dyDescent="0.25">
      <c r="B32" s="200"/>
      <c r="D32" s="163"/>
      <c r="AF32" s="344"/>
      <c r="AG32" s="376"/>
      <c r="AH32" s="376"/>
      <c r="AI32" s="376"/>
      <c r="AJ32" s="376"/>
      <c r="AK32" s="362"/>
      <c r="AL32" s="508"/>
      <c r="AM32" s="508"/>
      <c r="AN32" s="508"/>
      <c r="AO32" s="508"/>
      <c r="AP32" s="508"/>
      <c r="AQ32" s="362"/>
      <c r="AR32" s="362"/>
      <c r="AS32" s="362"/>
      <c r="CN32" s="703">
        <f>'DIR2'!BR133</f>
        <v>50.9</v>
      </c>
      <c r="CO32" s="667">
        <f>'DIR2'!BS133</f>
        <v>46.3</v>
      </c>
      <c r="CP32" s="667" t="str">
        <f>'DIR2'!BT133</f>
        <v/>
      </c>
      <c r="CQ32" s="667">
        <f>'DIR2'!BU133</f>
        <v>49.95</v>
      </c>
      <c r="CR32" s="667" t="str">
        <f>'DIR2'!BV133</f>
        <v/>
      </c>
      <c r="CS32" s="667">
        <f>'DIR2'!BW133</f>
        <v>46.1</v>
      </c>
      <c r="CT32" s="704" t="str">
        <f>'DIR2'!BX133</f>
        <v/>
      </c>
    </row>
    <row r="33" spans="2:82" ht="15" x14ac:dyDescent="0.25">
      <c r="B33" s="171"/>
      <c r="D33" s="164"/>
      <c r="E33" s="170" t="s">
        <v>165</v>
      </c>
      <c r="AF33" s="344"/>
      <c r="AG33" s="784" t="s">
        <v>294</v>
      </c>
      <c r="AH33" s="788"/>
      <c r="AI33" s="788"/>
      <c r="AJ33" s="785"/>
      <c r="AK33" s="362"/>
      <c r="AL33" s="362"/>
      <c r="AM33" s="362"/>
      <c r="AN33" s="362"/>
      <c r="AO33" s="362"/>
      <c r="AP33" s="362"/>
      <c r="AQ33" s="362"/>
      <c r="AR33" s="362"/>
      <c r="AS33" s="362"/>
    </row>
    <row r="34" spans="2:82" ht="15" x14ac:dyDescent="0.25">
      <c r="B34" s="201"/>
      <c r="D34" s="165"/>
      <c r="E34" s="202"/>
      <c r="AF34" s="344"/>
      <c r="AK34" s="362"/>
      <c r="AL34" s="362"/>
      <c r="AM34" s="362"/>
      <c r="AN34" s="362"/>
      <c r="AO34" s="362"/>
      <c r="AP34" s="362"/>
      <c r="AQ34" s="362"/>
      <c r="AR34" s="362"/>
      <c r="AS34" s="362"/>
    </row>
    <row r="35" spans="2:82" ht="27" thickBot="1" x14ac:dyDescent="0.3">
      <c r="B35" s="201"/>
      <c r="D35" s="165"/>
      <c r="E35" s="202"/>
      <c r="H35" s="272"/>
      <c r="I35" s="199"/>
      <c r="AF35" s="344"/>
      <c r="AG35" s="293" t="s">
        <v>346</v>
      </c>
      <c r="AH35" s="293" t="s">
        <v>347</v>
      </c>
      <c r="AI35" s="293" t="s">
        <v>348</v>
      </c>
      <c r="AJ35" s="293" t="s">
        <v>349</v>
      </c>
      <c r="AK35" s="362"/>
      <c r="AL35" s="362"/>
      <c r="AM35" s="362"/>
      <c r="AN35" s="362"/>
      <c r="AO35" s="362"/>
      <c r="AP35" s="362"/>
      <c r="AQ35" s="362"/>
      <c r="AR35" s="362"/>
      <c r="AS35" s="362"/>
      <c r="CC35" s="169"/>
      <c r="CD35" s="169"/>
    </row>
    <row r="36" spans="2:82" ht="15" x14ac:dyDescent="0.25">
      <c r="B36" s="203"/>
      <c r="D36" s="165"/>
      <c r="H36" s="273"/>
      <c r="I36" s="198"/>
      <c r="AE36" s="344">
        <f t="shared" ref="AE36:AE42" si="27">AE23</f>
        <v>43263</v>
      </c>
      <c r="AF36" s="344"/>
      <c r="AG36" s="365">
        <f t="shared" ref="AG36:AH42" si="28">AG23/AG5</f>
        <v>2.0348837209302327E-2</v>
      </c>
      <c r="AH36" s="366">
        <f t="shared" si="28"/>
        <v>1.393188854489164E-2</v>
      </c>
      <c r="AI36" s="361">
        <f t="shared" ref="AI36:AJ42" si="29">IF($AE5&lt;&gt;"WKND", AG36, "")</f>
        <v>2.0348837209302327E-2</v>
      </c>
      <c r="AJ36" s="350">
        <f t="shared" si="29"/>
        <v>1.393188854489164E-2</v>
      </c>
      <c r="AK36" s="362"/>
      <c r="AL36" s="362"/>
      <c r="AM36" s="362"/>
      <c r="AN36" s="362"/>
      <c r="AO36" s="362"/>
      <c r="AP36" s="362"/>
      <c r="AQ36" s="362"/>
      <c r="AR36" s="362"/>
      <c r="AS36" s="362"/>
      <c r="CC36" s="244"/>
      <c r="CD36" s="244"/>
    </row>
    <row r="37" spans="2:82" ht="15" x14ac:dyDescent="0.25">
      <c r="B37" s="203"/>
      <c r="D37" s="165"/>
      <c r="H37" s="273"/>
      <c r="I37" s="198"/>
      <c r="AA37" s="278"/>
      <c r="AB37" s="278"/>
      <c r="AC37" s="278"/>
      <c r="AE37" s="344">
        <f t="shared" si="27"/>
        <v>43264</v>
      </c>
      <c r="AF37" s="344"/>
      <c r="AG37" s="367">
        <f t="shared" si="28"/>
        <v>1.2032085561497326E-2</v>
      </c>
      <c r="AH37" s="368">
        <f t="shared" si="28"/>
        <v>9.3959731543624154E-3</v>
      </c>
      <c r="AI37" s="362">
        <f t="shared" si="29"/>
        <v>1.2032085561497326E-2</v>
      </c>
      <c r="AJ37" s="351">
        <f t="shared" si="29"/>
        <v>9.3959731543624154E-3</v>
      </c>
      <c r="AK37" s="362"/>
      <c r="AL37" s="362"/>
      <c r="AM37" s="362"/>
      <c r="AN37" s="362"/>
      <c r="AO37" s="362"/>
      <c r="AP37" s="362"/>
      <c r="AQ37" s="362"/>
      <c r="AR37" s="362"/>
      <c r="AS37" s="362"/>
    </row>
    <row r="38" spans="2:82" s="169" customFormat="1" ht="15" x14ac:dyDescent="0.25">
      <c r="B38" s="203"/>
      <c r="D38" s="166"/>
      <c r="E38" s="168"/>
      <c r="F38" s="168"/>
      <c r="G38" s="274"/>
      <c r="H38" s="274"/>
      <c r="I38" s="168"/>
      <c r="AA38" s="278"/>
      <c r="AB38" s="278"/>
      <c r="AC38" s="278"/>
      <c r="AE38" s="344">
        <f t="shared" si="27"/>
        <v>43265</v>
      </c>
      <c r="AF38" s="344"/>
      <c r="AG38" s="367">
        <f t="shared" si="28"/>
        <v>1.5895953757225433E-2</v>
      </c>
      <c r="AH38" s="368">
        <f t="shared" si="28"/>
        <v>5.8565153733528552E-3</v>
      </c>
      <c r="AI38" s="362">
        <f t="shared" si="29"/>
        <v>1.5895953757225433E-2</v>
      </c>
      <c r="AJ38" s="351">
        <f t="shared" si="29"/>
        <v>5.8565153733528552E-3</v>
      </c>
      <c r="AK38" s="362"/>
      <c r="AL38" s="362"/>
      <c r="AM38" s="362"/>
      <c r="AN38" s="362"/>
      <c r="AO38" s="362"/>
      <c r="AP38" s="362"/>
      <c r="AQ38" s="362"/>
      <c r="AR38" s="362"/>
      <c r="AS38" s="362"/>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8"/>
      <c r="BQ38" s="278"/>
      <c r="BR38" s="278"/>
      <c r="BS38" s="278"/>
      <c r="BT38" s="278"/>
      <c r="BU38" s="278"/>
      <c r="BV38" s="278"/>
      <c r="BW38" s="278"/>
      <c r="BX38" s="278"/>
      <c r="CC38" s="170"/>
      <c r="CD38" s="170"/>
    </row>
    <row r="39" spans="2:82" s="244" customFormat="1" x14ac:dyDescent="0.2">
      <c r="B39" s="239"/>
      <c r="C39" s="240"/>
      <c r="D39" s="204"/>
      <c r="E39" s="241"/>
      <c r="F39" s="241"/>
      <c r="G39" s="275"/>
      <c r="H39" s="275"/>
      <c r="I39" s="242"/>
      <c r="J39" s="204"/>
      <c r="K39" s="243"/>
      <c r="L39" s="204"/>
      <c r="M39" s="204"/>
      <c r="N39" s="205"/>
      <c r="AA39" s="172"/>
      <c r="AB39" s="172"/>
      <c r="AC39" s="172"/>
      <c r="AE39" s="344">
        <f t="shared" si="27"/>
        <v>43266</v>
      </c>
      <c r="AF39" s="278"/>
      <c r="AG39" s="367">
        <f t="shared" si="28"/>
        <v>2.1822849807445442E-2</v>
      </c>
      <c r="AH39" s="368">
        <f t="shared" si="28"/>
        <v>1.2048192771084338E-2</v>
      </c>
      <c r="AI39" s="362">
        <f t="shared" si="29"/>
        <v>2.1822849807445442E-2</v>
      </c>
      <c r="AJ39" s="351">
        <f t="shared" si="29"/>
        <v>1.2048192771084338E-2</v>
      </c>
      <c r="AK39" s="377"/>
      <c r="AL39" s="377"/>
      <c r="AM39" s="377"/>
      <c r="AN39" s="377"/>
      <c r="AO39" s="377"/>
      <c r="AP39" s="377"/>
      <c r="AQ39" s="377"/>
      <c r="AR39" s="377"/>
      <c r="AS39" s="377"/>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8"/>
      <c r="BQ39" s="278"/>
      <c r="BR39" s="278"/>
      <c r="BS39" s="278"/>
      <c r="BT39" s="278"/>
      <c r="BU39" s="278"/>
      <c r="BV39" s="278"/>
      <c r="BW39" s="278"/>
      <c r="BX39" s="278"/>
      <c r="CC39" s="170"/>
      <c r="CD39" s="170"/>
    </row>
    <row r="40" spans="2:82" ht="15" x14ac:dyDescent="0.25">
      <c r="B40" s="203"/>
      <c r="D40" s="166"/>
      <c r="E40" s="206"/>
      <c r="F40" s="168"/>
      <c r="G40" s="276"/>
      <c r="H40" s="276"/>
      <c r="I40" s="168"/>
      <c r="AE40" s="344">
        <f t="shared" si="27"/>
        <v>43267</v>
      </c>
      <c r="AG40" s="367">
        <f>AG27/AG9</f>
        <v>8.4889643463497456E-3</v>
      </c>
      <c r="AH40" s="368">
        <f t="shared" si="28"/>
        <v>7.6481835564053535E-3</v>
      </c>
      <c r="AI40" s="362" t="str">
        <f t="shared" si="29"/>
        <v/>
      </c>
      <c r="AJ40" s="351" t="str">
        <f t="shared" si="29"/>
        <v/>
      </c>
      <c r="AK40" s="377"/>
      <c r="AL40" s="377"/>
      <c r="AM40" s="377"/>
      <c r="AN40" s="377"/>
      <c r="AO40" s="377"/>
      <c r="AP40" s="377"/>
      <c r="AQ40" s="377"/>
      <c r="AR40" s="377"/>
      <c r="AS40" s="377"/>
    </row>
    <row r="41" spans="2:82" ht="15" x14ac:dyDescent="0.25">
      <c r="B41" s="207"/>
      <c r="C41" s="169"/>
      <c r="D41" s="167"/>
      <c r="E41" s="167"/>
      <c r="F41" s="167"/>
      <c r="G41" s="277"/>
      <c r="H41" s="277"/>
      <c r="I41" s="168"/>
      <c r="J41" s="169"/>
      <c r="K41" s="169"/>
      <c r="L41" s="169"/>
      <c r="M41" s="169"/>
      <c r="AE41" s="344">
        <f t="shared" si="27"/>
        <v>43268</v>
      </c>
      <c r="AG41" s="367">
        <f t="shared" si="28"/>
        <v>1.4234875444839857E-2</v>
      </c>
      <c r="AH41" s="368">
        <f t="shared" si="28"/>
        <v>5.8365758754863814E-3</v>
      </c>
      <c r="AI41" s="362" t="str">
        <f t="shared" si="29"/>
        <v/>
      </c>
      <c r="AJ41" s="351" t="str">
        <f t="shared" si="29"/>
        <v/>
      </c>
    </row>
    <row r="42" spans="2:82" ht="15.75" thickBot="1" x14ac:dyDescent="0.3">
      <c r="B42" s="207"/>
      <c r="C42" s="169"/>
      <c r="D42" s="167"/>
      <c r="E42" s="167"/>
      <c r="F42" s="167"/>
      <c r="G42" s="277"/>
      <c r="H42" s="277"/>
      <c r="I42" s="168"/>
      <c r="J42" s="169"/>
      <c r="K42" s="169"/>
      <c r="L42" s="169"/>
      <c r="M42" s="169"/>
      <c r="AE42" s="344">
        <f t="shared" si="27"/>
        <v>43269</v>
      </c>
      <c r="AG42" s="369">
        <f t="shared" si="28"/>
        <v>1.7241379310344827E-2</v>
      </c>
      <c r="AH42" s="370">
        <f t="shared" si="28"/>
        <v>6.0331825037707393E-3</v>
      </c>
      <c r="AI42" s="363">
        <f t="shared" si="29"/>
        <v>1.7241379310344827E-2</v>
      </c>
      <c r="AJ42" s="352">
        <f t="shared" si="29"/>
        <v>6.0331825037707393E-3</v>
      </c>
    </row>
    <row r="43" spans="2:82" ht="15" x14ac:dyDescent="0.25">
      <c r="B43" s="162"/>
      <c r="C43" s="169"/>
      <c r="D43" s="167"/>
      <c r="E43" s="162"/>
      <c r="F43" s="277"/>
      <c r="G43" s="277"/>
      <c r="H43" s="277"/>
      <c r="I43" s="168"/>
      <c r="J43" s="169"/>
      <c r="K43" s="169"/>
      <c r="L43" s="169"/>
      <c r="M43" s="169"/>
      <c r="AE43" s="278" t="s">
        <v>379</v>
      </c>
      <c r="AG43" s="364">
        <f>AG30/AG13</f>
        <v>1.5986537652503154E-2</v>
      </c>
      <c r="AH43" s="364">
        <f>AH30/AH13</f>
        <v>8.8476000884760014E-3</v>
      </c>
      <c r="AI43" s="353">
        <f>AI30/AI13</f>
        <v>1.7485428809325562E-2</v>
      </c>
      <c r="AJ43" s="353">
        <f>AJ30/AJ13</f>
        <v>9.4718714121699195E-3</v>
      </c>
    </row>
    <row r="44" spans="2:82" ht="15" x14ac:dyDescent="0.25">
      <c r="B44" s="162"/>
      <c r="C44" s="169"/>
      <c r="D44" s="167"/>
      <c r="E44" s="162"/>
      <c r="F44" s="167"/>
      <c r="G44" s="277"/>
      <c r="H44" s="277"/>
      <c r="I44" s="168"/>
      <c r="J44" s="169"/>
      <c r="K44" s="169"/>
      <c r="L44" s="169"/>
      <c r="M44" s="169"/>
      <c r="AG44" s="817">
        <f>AVERAGE(AG43:AH43)</f>
        <v>1.2417068870489578E-2</v>
      </c>
      <c r="AH44" s="817"/>
      <c r="AI44" s="817">
        <f>AVERAGE(AI43:AJ43)</f>
        <v>1.3478650110747741E-2</v>
      </c>
      <c r="AJ44" s="817"/>
    </row>
    <row r="45" spans="2:82" ht="15" x14ac:dyDescent="0.25">
      <c r="B45" s="162"/>
      <c r="C45" s="169"/>
      <c r="D45" s="167"/>
      <c r="E45" s="162"/>
      <c r="F45" s="167"/>
      <c r="G45" s="277"/>
      <c r="H45" s="277"/>
      <c r="I45" s="168"/>
      <c r="J45" s="169"/>
      <c r="K45" s="169"/>
      <c r="L45" s="169"/>
      <c r="M45" s="169"/>
    </row>
    <row r="46" spans="2:82" ht="15" x14ac:dyDescent="0.25">
      <c r="B46" s="162"/>
      <c r="C46" s="169"/>
      <c r="D46" s="167"/>
      <c r="E46" s="162"/>
      <c r="F46" s="167"/>
      <c r="G46" s="277"/>
      <c r="H46" s="277"/>
      <c r="I46" s="168"/>
      <c r="J46" s="169"/>
      <c r="K46" s="169"/>
      <c r="L46" s="169"/>
      <c r="M46" s="169"/>
      <c r="AE46" s="172" t="s">
        <v>401</v>
      </c>
      <c r="AG46" s="434">
        <f ca="1">OFFSET(AG35, MATCH(MAX(AG36:AG42), AG36:AG42, 0), -2)</f>
        <v>43266</v>
      </c>
      <c r="AH46" s="434">
        <f ca="1">OFFSET(AH35, MATCH(MAX(AH36:AH42), AH36:AH42, 0), -3)</f>
        <v>43263</v>
      </c>
    </row>
    <row r="47" spans="2:82" ht="15" x14ac:dyDescent="0.25">
      <c r="B47" s="162"/>
      <c r="C47" s="169"/>
      <c r="D47" s="167"/>
      <c r="E47" s="162"/>
      <c r="F47" s="167"/>
      <c r="G47" s="277"/>
      <c r="H47" s="277"/>
      <c r="I47" s="168"/>
      <c r="J47" s="169"/>
      <c r="K47" s="169"/>
      <c r="L47" s="169"/>
      <c r="M47" s="169"/>
    </row>
    <row r="48" spans="2:82" ht="15" x14ac:dyDescent="0.25">
      <c r="B48" s="169"/>
      <c r="C48" s="169"/>
      <c r="D48" s="167"/>
      <c r="E48" s="162"/>
      <c r="F48" s="167"/>
      <c r="G48" s="277"/>
      <c r="H48" s="277"/>
      <c r="I48" s="168"/>
      <c r="J48" s="169"/>
      <c r="K48" s="169"/>
      <c r="L48" s="169"/>
      <c r="M48" s="169"/>
    </row>
    <row r="49" spans="2:13" ht="15" x14ac:dyDescent="0.25">
      <c r="B49" s="169"/>
      <c r="C49" s="169"/>
      <c r="D49" s="167"/>
      <c r="E49" s="162"/>
      <c r="F49" s="167"/>
      <c r="G49" s="277"/>
      <c r="H49" s="277"/>
      <c r="I49" s="168"/>
      <c r="J49" s="169"/>
      <c r="K49" s="169"/>
      <c r="L49" s="169"/>
      <c r="M49" s="169"/>
    </row>
    <row r="54" spans="2:13" ht="15" customHeight="1" x14ac:dyDescent="0.2">
      <c r="B54" s="812" t="s">
        <v>285</v>
      </c>
      <c r="C54" s="812"/>
      <c r="D54" s="264" t="str">
        <f ca="1">IF(D3&lt;&gt;"",LEFT(D3,5)&amp;"-"&amp;TRIM(MID(D4,4,20)),"UNKNOWN")</f>
        <v>18225-01</v>
      </c>
    </row>
    <row r="55" spans="2:13" ht="15" customHeight="1" x14ac:dyDescent="0.2">
      <c r="B55" s="811" t="s">
        <v>286</v>
      </c>
      <c r="C55" s="811"/>
      <c r="D55" s="238" t="s">
        <v>241</v>
      </c>
    </row>
    <row r="56" spans="2:13" ht="15" customHeight="1" x14ac:dyDescent="0.2">
      <c r="B56" s="811" t="s">
        <v>287</v>
      </c>
      <c r="C56" s="811"/>
      <c r="D56" s="238" t="str">
        <f>IF(D6="","DD MMM YYYY",TEXT(D6,"YYYY-MM-DD"))</f>
        <v>2018-06-12</v>
      </c>
    </row>
    <row r="57" spans="2:13" ht="15" customHeight="1" x14ac:dyDescent="0.2">
      <c r="B57" s="811" t="s">
        <v>143</v>
      </c>
      <c r="C57" s="811"/>
      <c r="D57" s="238" t="str">
        <f>IF(D14&lt;&gt;"",LEFT(D14, 6)&amp;", "&amp;RIGHT(D14, 6),"EASTING, NORTHING")</f>
        <v>587759, 212708</v>
      </c>
    </row>
    <row r="58" spans="2:13" ht="15" customHeight="1" x14ac:dyDescent="0.2">
      <c r="B58" s="811" t="s">
        <v>293</v>
      </c>
      <c r="C58" s="811"/>
      <c r="D58" s="238" t="str">
        <f>IFERROR(LEFT(D15,FIND(",",D15)-1)&amp;", "&amp;RIGHT(D15,(LEN(D15)-FIND(",",D15)-1)),"LAT, LNG")</f>
        <v>51.781525, 0.720540</v>
      </c>
    </row>
    <row r="59" spans="2:13" ht="15" customHeight="1" x14ac:dyDescent="0.2">
      <c r="B59" s="811" t="s">
        <v>172</v>
      </c>
      <c r="C59" s="811"/>
      <c r="D59" s="238" t="str">
        <f>IF(D5&lt;&gt;"",SUBSTITUTE(D5,"'",""),"desc...")</f>
        <v>Plains Rd (W), Gt Totham</v>
      </c>
    </row>
    <row r="60" spans="2:13" ht="15" customHeight="1" x14ac:dyDescent="0.2">
      <c r="B60" s="811" t="s">
        <v>288</v>
      </c>
      <c r="C60" s="811"/>
      <c r="D60" s="238">
        <f>IF(CC14&gt;0,ROUND(CC14, 0),"aadf")</f>
        <v>1365</v>
      </c>
    </row>
    <row r="61" spans="2:13" ht="15" customHeight="1" x14ac:dyDescent="0.2">
      <c r="B61" s="809" t="s">
        <v>294</v>
      </c>
      <c r="C61" s="809"/>
      <c r="D61" s="562">
        <f>IFERROR(ROUND(AG44*100, 1), "NO DATA")</f>
        <v>1.2</v>
      </c>
    </row>
    <row r="62" spans="2:13" ht="15" customHeight="1" x14ac:dyDescent="0.2">
      <c r="B62" s="549" t="s">
        <v>428</v>
      </c>
      <c r="C62" s="549"/>
      <c r="D62" s="238">
        <f>config!D8</f>
        <v>60</v>
      </c>
    </row>
    <row r="63" spans="2:13" ht="37.5" customHeight="1" x14ac:dyDescent="0.2">
      <c r="B63" s="809"/>
      <c r="C63" s="809"/>
      <c r="D63" s="263" t="str">
        <f>D13&amp;". The survey recorded "&amp;AC13&amp;" days data with a total of "&amp;AG14&amp;" vehicles. "&amp;D18</f>
        <v xml:space="preserve">TP, 290m E of j/w Beckingham Rd. The survey recorded 7 days data with a total of 9275 vehicles. </v>
      </c>
    </row>
    <row r="64" spans="2:13" ht="15" customHeight="1" x14ac:dyDescent="0.2">
      <c r="B64" s="810" t="s">
        <v>299</v>
      </c>
      <c r="C64" s="810"/>
      <c r="D64" s="265" t="str">
        <f ca="1">LEFT(D20, LEN(D20)-5)</f>
        <v>18225-01 . Plains Rd (W) GT TOTHAM . JUN 2018 (ATC)</v>
      </c>
    </row>
  </sheetData>
  <sheetProtection algorithmName="SHA-512" hashValue="Ge8Z+Wr1xRVnVdlGxdzetKy1Xn0r4zrax6TqbtbpGwLYhmwC6RJGfAX8+99F6U8odiBlXi2IlLjJPMCtP3DA3w==" saltValue="K6Ml9qsPqBcmeGh4GESlBA==" spinCount="100000" sheet="1" objects="1" scenarios="1" selectLockedCells="1" selectUnlockedCells="1"/>
  <dataConsolidate/>
  <mergeCells count="105">
    <mergeCell ref="BV14:BV15"/>
    <mergeCell ref="B61:C61"/>
    <mergeCell ref="B63:C63"/>
    <mergeCell ref="B64:C64"/>
    <mergeCell ref="B60:C60"/>
    <mergeCell ref="B59:C59"/>
    <mergeCell ref="B58:C58"/>
    <mergeCell ref="AA3:AA4"/>
    <mergeCell ref="AB3:AB4"/>
    <mergeCell ref="AT3:AT4"/>
    <mergeCell ref="B57:C57"/>
    <mergeCell ref="B56:C56"/>
    <mergeCell ref="B55:C55"/>
    <mergeCell ref="B54:C54"/>
    <mergeCell ref="B20:C20"/>
    <mergeCell ref="D20:E20"/>
    <mergeCell ref="AI44:AJ44"/>
    <mergeCell ref="B18:C18"/>
    <mergeCell ref="AI21:AI22"/>
    <mergeCell ref="AJ21:AJ22"/>
    <mergeCell ref="AA18:AD18"/>
    <mergeCell ref="AG44:AH44"/>
    <mergeCell ref="AI14:AJ14"/>
    <mergeCell ref="AL21:AL22"/>
    <mergeCell ref="AM21:AM22"/>
    <mergeCell ref="BL3:BL4"/>
    <mergeCell ref="AG3:AG4"/>
    <mergeCell ref="AH3:AH4"/>
    <mergeCell ref="BU3:BU4"/>
    <mergeCell ref="BM3:BM4"/>
    <mergeCell ref="BN3:BN4"/>
    <mergeCell ref="AW3:AW4"/>
    <mergeCell ref="AI3:AI4"/>
    <mergeCell ref="AJ3:AJ4"/>
    <mergeCell ref="AV3:AV4"/>
    <mergeCell ref="AY3:AY4"/>
    <mergeCell ref="AZ3:AZ4"/>
    <mergeCell ref="BA3:BA4"/>
    <mergeCell ref="BB3:BB4"/>
    <mergeCell ref="AU3:AU4"/>
    <mergeCell ref="AL3:AL4"/>
    <mergeCell ref="AM3:AM4"/>
    <mergeCell ref="AN3:AN4"/>
    <mergeCell ref="AO3:AO4"/>
    <mergeCell ref="BU14:BU15"/>
    <mergeCell ref="CC3:CC4"/>
    <mergeCell ref="CD3:CD4"/>
    <mergeCell ref="CF3:CF4"/>
    <mergeCell ref="CG3:CG4"/>
    <mergeCell ref="CI3:CI4"/>
    <mergeCell ref="CJ3:CJ4"/>
    <mergeCell ref="CK3:CK4"/>
    <mergeCell ref="BV3:BV4"/>
    <mergeCell ref="BX3:BX4"/>
    <mergeCell ref="BY3:BY4"/>
    <mergeCell ref="CA3:CA4"/>
    <mergeCell ref="CB3:CB4"/>
    <mergeCell ref="AC2:AE2"/>
    <mergeCell ref="AT2:AW2"/>
    <mergeCell ref="AG2:AJ2"/>
    <mergeCell ref="BK2:BN2"/>
    <mergeCell ref="BP2:BS2"/>
    <mergeCell ref="AL2:AO2"/>
    <mergeCell ref="AI17:AJ17"/>
    <mergeCell ref="AT17:AU17"/>
    <mergeCell ref="BM17:BN17"/>
    <mergeCell ref="BK17:BL17"/>
    <mergeCell ref="AG17:AH17"/>
    <mergeCell ref="AV17:AW17"/>
    <mergeCell ref="AG14:AH14"/>
    <mergeCell ref="BQ3:BQ4"/>
    <mergeCell ref="BR3:BR4"/>
    <mergeCell ref="BS3:BS4"/>
    <mergeCell ref="BP17:BQ17"/>
    <mergeCell ref="BR17:BS17"/>
    <mergeCell ref="BF3:BF4"/>
    <mergeCell ref="BI3:BI4"/>
    <mergeCell ref="AY2:BI2"/>
    <mergeCell ref="AY17:AZ17"/>
    <mergeCell ref="BA17:BB17"/>
    <mergeCell ref="BP3:BP4"/>
    <mergeCell ref="CF2:CG2"/>
    <mergeCell ref="CK2:CL2"/>
    <mergeCell ref="BU2:BV2"/>
    <mergeCell ref="AG19:AJ19"/>
    <mergeCell ref="AG33:AJ33"/>
    <mergeCell ref="AQ2:AR2"/>
    <mergeCell ref="AL14:AM14"/>
    <mergeCell ref="AN14:AO14"/>
    <mergeCell ref="AL17:AM17"/>
    <mergeCell ref="AN17:AO17"/>
    <mergeCell ref="AG31:AH31"/>
    <mergeCell ref="AI31:AJ31"/>
    <mergeCell ref="BM19:BM20"/>
    <mergeCell ref="BN19:BN20"/>
    <mergeCell ref="BK19:BK20"/>
    <mergeCell ref="BL19:BL20"/>
    <mergeCell ref="AG21:AG22"/>
    <mergeCell ref="AH21:AH22"/>
    <mergeCell ref="CC14:CD14"/>
    <mergeCell ref="CC13:CD13"/>
    <mergeCell ref="CL3:CL4"/>
    <mergeCell ref="CA2:CD2"/>
    <mergeCell ref="BX2:BY2"/>
    <mergeCell ref="BK3:BK4"/>
  </mergeCells>
  <conditionalFormatting sqref="D3:D16">
    <cfRule type="cellIs" dxfId="2" priority="4" operator="equal">
      <formula>""</formula>
    </cfRule>
  </conditionalFormatting>
  <conditionalFormatting sqref="AD5:AD11">
    <cfRule type="expression" dxfId="1" priority="1">
      <formula>(AE5="WKND")</formula>
    </cfRule>
    <cfRule type="expression" dxfId="0" priority="2">
      <formula>(AE5="NON")</formula>
    </cfRule>
    <cfRule type="expression" priority="3">
      <formula>(AE5="NEUTRAL")</formula>
    </cfRule>
  </conditionalFormatting>
  <dataValidations count="8">
    <dataValidation type="list" allowBlank="1" showInputMessage="1" showErrorMessage="1" sqref="D8">
      <formula1>$AA$5:$AA$10</formula1>
    </dataValidation>
    <dataValidation type="list" allowBlank="1" showInputMessage="1" showErrorMessage="1" sqref="D10">
      <formula1>$AB$5:$AB$6</formula1>
    </dataValidation>
    <dataValidation allowBlank="1" showInputMessage="1" sqref="D4"/>
    <dataValidation type="date" operator="greaterThan" allowBlank="1" showInputMessage="1" showErrorMessage="1" sqref="D6">
      <formula1>40179</formula1>
    </dataValidation>
    <dataValidation type="date" operator="greaterThan" allowBlank="1" showInputMessage="1" showErrorMessage="1" sqref="D16">
      <formula1>42005</formula1>
    </dataValidation>
    <dataValidation type="textLength" operator="equal" allowBlank="1" showInputMessage="1" showErrorMessage="1" errorTitle="Invalid OSGR" error="Input must be in the following format:_x000a_EEEEEE, NNNNNN" sqref="D14">
      <formula1>14</formula1>
    </dataValidation>
    <dataValidation type="list" allowBlank="1" showInputMessage="1" showErrorMessage="1" errorTitle="INVALID DIRECTION" sqref="D11">
      <formula1>$BX$5:$BX$9</formula1>
    </dataValidation>
    <dataValidation type="list" allowBlank="1" showInputMessage="1" showErrorMessage="1" errorTitle="INVALID DIRECTION" sqref="D12">
      <formula1>$BY$5:$BY$9</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SUMMARY</vt:lpstr>
      <vt:lpstr>DIR1</vt:lpstr>
      <vt:lpstr>DIR2</vt:lpstr>
      <vt:lpstr>config</vt:lpstr>
      <vt:lpstr>SUMMARY!_Toc380999782</vt:lpstr>
      <vt:lpstr>SUMMARY!_Toc380999788</vt:lpstr>
      <vt:lpstr>SUMMARY!_Toc380999789</vt:lpstr>
      <vt:lpstr>SUMMARY!_Toc380999792</vt:lpstr>
      <vt:lpstr>SUMMARY!Print_Area</vt:lpstr>
    </vt:vector>
  </TitlesOfParts>
  <Company>Essex Highways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ATC data</dc:title>
  <dc:creator>Paul Dolphin</dc:creator>
  <cp:lastModifiedBy>Paul Dolphin</cp:lastModifiedBy>
  <cp:lastPrinted>2017-05-10T08:27:11Z</cp:lastPrinted>
  <dcterms:created xsi:type="dcterms:W3CDTF">2014-02-14T11:33:13Z</dcterms:created>
  <dcterms:modified xsi:type="dcterms:W3CDTF">2018-06-25T08:08:05Z</dcterms:modified>
</cp:coreProperties>
</file>