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lla\OneDrive\Great Waltham Parish Council\Accounts\Accounts 2022 to 2023\"/>
    </mc:Choice>
  </mc:AlternateContent>
  <xr:revisionPtr revIDLastSave="0" documentId="13_ncr:1_{C600B52D-0570-453A-9025-0891BC4C47EF}" xr6:coauthVersionLast="47" xr6:coauthVersionMax="47" xr10:uidLastSave="{00000000-0000-0000-0000-000000000000}"/>
  <bookViews>
    <workbookView xWindow="-108" yWindow="-108" windowWidth="23256" windowHeight="12456" tabRatio="892" xr2:uid="{9D4391D6-4C25-4AFB-90DC-F1631EE0CECE}"/>
  </bookViews>
  <sheets>
    <sheet name="BUDGET OVERVIEW" sheetId="10" r:id="rId1"/>
    <sheet name="Previous Budgets" sheetId="1" r:id="rId2"/>
    <sheet name="Recommended Budget" sheetId="2" r:id="rId3"/>
    <sheet name="Sheet1" sheetId="11" r:id="rId4"/>
    <sheet name="Budget Minimum" sheetId="8" r:id="rId5"/>
    <sheet name="Budget Maximum" sheetId="9" r:id="rId6"/>
    <sheet name="General reserve" sheetId="7" r:id="rId7"/>
    <sheet name="RPI" sheetId="3" r:id="rId8"/>
    <sheet name="Capital Works Projects" sheetId="5" r:id="rId9"/>
    <sheet name="Spend By Area" sheetId="6" r:id="rId10"/>
  </sheets>
  <definedNames>
    <definedName name="_xlnm._FilterDatabase" localSheetId="8" hidden="1">'Capital Works Projects'!$A$3:$E$3</definedName>
    <definedName name="categories">OFFSET(#REF!,0,0,MATCH(REPT("z",255),#REF!),1)</definedName>
    <definedName name="valuevx">42.314159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" i="9" l="1"/>
  <c r="K20" i="8"/>
  <c r="K20" i="2"/>
  <c r="M24" i="9"/>
  <c r="K24" i="9"/>
  <c r="K24" i="2" l="1"/>
  <c r="E22" i="9"/>
  <c r="F22" i="9" s="1"/>
  <c r="K7" i="9" s="1"/>
  <c r="K13" i="9" s="1"/>
  <c r="C31" i="9"/>
  <c r="K16" i="9" s="1"/>
  <c r="F21" i="9"/>
  <c r="F20" i="9"/>
  <c r="D20" i="9"/>
  <c r="D31" i="9" s="1"/>
  <c r="F18" i="9"/>
  <c r="F17" i="9"/>
  <c r="F15" i="9"/>
  <c r="F14" i="9"/>
  <c r="E12" i="9"/>
  <c r="E11" i="9"/>
  <c r="E31" i="9" s="1"/>
  <c r="K11" i="9" s="1"/>
  <c r="F8" i="9"/>
  <c r="F6" i="9"/>
  <c r="E2" i="9"/>
  <c r="D31" i="8"/>
  <c r="C31" i="8"/>
  <c r="K16" i="8" s="1"/>
  <c r="F22" i="8"/>
  <c r="K7" i="8" s="1"/>
  <c r="K13" i="8" s="1"/>
  <c r="F21" i="8"/>
  <c r="F20" i="8"/>
  <c r="D20" i="8"/>
  <c r="F18" i="8"/>
  <c r="F17" i="8"/>
  <c r="F15" i="8"/>
  <c r="F14" i="8"/>
  <c r="E12" i="8"/>
  <c r="E11" i="8"/>
  <c r="F8" i="8"/>
  <c r="F6" i="8"/>
  <c r="E2" i="8"/>
  <c r="E31" i="8" s="1"/>
  <c r="K11" i="8" s="1"/>
  <c r="E12" i="2"/>
  <c r="D31" i="2"/>
  <c r="D20" i="2"/>
  <c r="E2" i="2"/>
  <c r="D21" i="5"/>
  <c r="D20" i="5"/>
  <c r="D7" i="5"/>
  <c r="D6" i="5"/>
  <c r="D19" i="5"/>
  <c r="D4" i="5"/>
  <c r="D6" i="7"/>
  <c r="C8" i="7" s="1"/>
  <c r="B8" i="10" l="1"/>
  <c r="B3" i="10"/>
  <c r="F31" i="9"/>
  <c r="K3" i="9" s="1"/>
  <c r="J1" i="9" s="1"/>
  <c r="K12" i="9" s="1"/>
  <c r="K14" i="9" s="1"/>
  <c r="C8" i="10" s="1"/>
  <c r="D8" i="10" s="1"/>
  <c r="E8" i="10" s="1"/>
  <c r="F31" i="8"/>
  <c r="K3" i="8" s="1"/>
  <c r="J1" i="8" s="1"/>
  <c r="K12" i="8" s="1"/>
  <c r="K14" i="8" s="1"/>
  <c r="K24" i="8" s="1"/>
  <c r="G8" i="5"/>
  <c r="E11" i="2"/>
  <c r="F17" i="2"/>
  <c r="G20" i="6"/>
  <c r="E20" i="6"/>
  <c r="D20" i="6"/>
  <c r="D16" i="6"/>
  <c r="F12" i="6"/>
  <c r="F20" i="6" s="1"/>
  <c r="D9" i="6"/>
  <c r="F22" i="2"/>
  <c r="K7" i="2" s="1"/>
  <c r="K13" i="2" s="1"/>
  <c r="K18" i="8" l="1"/>
  <c r="C3" i="10"/>
  <c r="D3" i="10" s="1"/>
  <c r="E3" i="10" s="1"/>
  <c r="L24" i="8"/>
  <c r="M24" i="8" s="1"/>
  <c r="K18" i="9"/>
  <c r="L24" i="9"/>
  <c r="C20" i="6"/>
  <c r="F8" i="10" l="1"/>
  <c r="H8" i="10" s="1"/>
  <c r="F3" i="10"/>
  <c r="H3" i="10" s="1"/>
  <c r="F20" i="2"/>
  <c r="F21" i="2"/>
  <c r="F18" i="2"/>
  <c r="F15" i="2"/>
  <c r="F14" i="2"/>
  <c r="F8" i="2"/>
  <c r="F6" i="2"/>
  <c r="G17" i="5"/>
  <c r="D1" i="5"/>
  <c r="C31" i="2"/>
  <c r="K16" i="2" s="1"/>
  <c r="E31" i="2"/>
  <c r="B13" i="10" s="1"/>
  <c r="F31" i="2" l="1"/>
  <c r="K3" i="2" s="1"/>
  <c r="J1" i="2" s="1"/>
  <c r="K12" i="2" s="1"/>
  <c r="K11" i="2"/>
  <c r="K14" i="2" l="1"/>
  <c r="K18" i="2" l="1"/>
  <c r="C13" i="10"/>
  <c r="D13" i="10" s="1"/>
  <c r="E13" i="10" s="1"/>
  <c r="D9" i="1"/>
  <c r="L24" i="2"/>
  <c r="M24" i="2" s="1"/>
  <c r="F13" i="10" l="1"/>
  <c r="H13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tc={A7ADA12A-BCCF-4CFC-870D-773013A56781}</author>
    <author>tc={21AD5DD4-B615-4BA2-885F-D7687E871452}</author>
    <author>tc={39513676-B7FF-45BB-8DBC-5B0953EA5F81}</author>
    <author>tc={D95A077F-6702-4064-8971-76B377CEFFD8}</author>
    <author>tc={262F2EA5-8BC2-4627-9594-EBF0AA742DCA}</author>
    <author>tc={5C998B1E-9028-403D-B1B1-AEE1F8EB0C50}</author>
  </authors>
  <commentList>
    <comment ref="E2" authorId="0" shapeId="0" xr:uid="{A7ADA12A-BCCF-4CFC-870D-773013A56781}">
      <text>
        <t>[Threaded comment]
Your version of Excel allows you to read this threaded comment; however, any edits to it will get removed if the file is opened in a newer version of Excel. Learn more: https://go.microsoft.com/fwlink/?linkid=870924
Comment:
    Assumption 6.6% Handman wage increase , Clerk to SP 17 (+5% from 2020)</t>
      </text>
    </comment>
    <comment ref="E12" authorId="1" shapeId="0" xr:uid="{21AD5DD4-B615-4BA2-885F-D7687E871452}">
      <text>
        <t>[Threaded comment]
Your version of Excel allows you to read this threaded comment; however, any edits to it will get removed if the file is opened in a newer version of Excel. Learn more: https://go.microsoft.com/fwlink/?linkid=870924
Comment:
    4.45% Increase</t>
      </text>
    </comment>
    <comment ref="E13" authorId="2" shapeId="0" xr:uid="{39513676-B7FF-45BB-8DBC-5B0953EA5F81}">
      <text>
        <t>[Threaded comment]
Your version of Excel allows you to read this threaded comment; however, any edits to it will get removed if the file is opened in a newer version of Excel. Learn more: https://go.microsoft.com/fwlink/?linkid=870924
Comment:
    budget 5%</t>
      </text>
    </comment>
    <comment ref="E17" authorId="3" shapeId="0" xr:uid="{D95A077F-6702-4064-8971-76B377CEFFD8}">
      <text>
        <t>[Threaded comment]
Your version of Excel allows you to read this threaded comment; however, any edits to it will get removed if the file is opened in a newer version of Excel. Learn more: https://go.microsoft.com/fwlink/?linkid=870924
Comment:
    Estimate</t>
      </text>
    </comment>
    <comment ref="E22" authorId="4" shapeId="0" xr:uid="{262F2EA5-8BC2-4627-9594-EBF0AA742DCA}">
      <text>
        <t>[Threaded comment]
Your version of Excel allows you to read this threaded comment; however, any edits to it will get removed if the file is opened in a newer version of Excel. Learn more: https://go.microsoft.com/fwlink/?linkid=870924
Comment:
    Capital Works Tab</t>
      </text>
    </comment>
    <comment ref="E26" authorId="5" shapeId="0" xr:uid="{5C998B1E-9028-403D-B1B1-AEE1F8EB0C50}">
      <text>
        <t>[Threaded comment]
Your version of Excel allows you to read this threaded comment; however, any edits to it will get removed if the file is opened in a newer version of Excel. Learn more: https://go.microsoft.com/fwlink/?linkid=870924
Comment:
    New rent from September 2022 - Rate Unknown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tc={97EAE4DF-4268-413C-9A4D-7D3E5098A95A}</author>
    <author>tc={BD49E464-4D60-4902-AC53-7D6C83A10165}</author>
    <author>tc={17A45325-F742-49B8-9A78-991F08C39DB8}</author>
    <author>tc={6839057F-4593-4086-A53E-942626112575}</author>
    <author>tc={07C1F73D-992D-423B-9D10-E3A74FB6044C}</author>
    <author>tc={1B0D24A2-2DC7-4FDE-BE0B-AC09B5B5C888}</author>
  </authors>
  <commentList>
    <comment ref="E2" authorId="0" shapeId="0" xr:uid="{97EAE4DF-4268-413C-9A4D-7D3E5098A95A}">
      <text>
        <t>[Threaded comment]
Your version of Excel allows you to read this threaded comment; however, any edits to it will get removed if the file is opened in a newer version of Excel. Learn more: https://go.microsoft.com/fwlink/?linkid=870924
Comment:
    Assumption 6.6% Handman wage increase , Clerk to SP 17 (+5% from 2020)</t>
      </text>
    </comment>
    <comment ref="E12" authorId="1" shapeId="0" xr:uid="{BD49E464-4D60-4902-AC53-7D6C83A10165}">
      <text>
        <t>[Threaded comment]
Your version of Excel allows you to read this threaded comment; however, any edits to it will get removed if the file is opened in a newer version of Excel. Learn more: https://go.microsoft.com/fwlink/?linkid=870924
Comment:
    4.45% Increase</t>
      </text>
    </comment>
    <comment ref="E13" authorId="2" shapeId="0" xr:uid="{17A45325-F742-49B8-9A78-991F08C39DB8}">
      <text>
        <t>[Threaded comment]
Your version of Excel allows you to read this threaded comment; however, any edits to it will get removed if the file is opened in a newer version of Excel. Learn more: https://go.microsoft.com/fwlink/?linkid=870924
Comment:
    budget 5%</t>
      </text>
    </comment>
    <comment ref="E17" authorId="3" shapeId="0" xr:uid="{6839057F-4593-4086-A53E-942626112575}">
      <text>
        <t>[Threaded comment]
Your version of Excel allows you to read this threaded comment; however, any edits to it will get removed if the file is opened in a newer version of Excel. Learn more: https://go.microsoft.com/fwlink/?linkid=870924
Comment:
    Estimate</t>
      </text>
    </comment>
    <comment ref="E22" authorId="4" shapeId="0" xr:uid="{07C1F73D-992D-423B-9D10-E3A74FB6044C}">
      <text>
        <t>[Threaded comment]
Your version of Excel allows you to read this threaded comment; however, any edits to it will get removed if the file is opened in a newer version of Excel. Learn more: https://go.microsoft.com/fwlink/?linkid=870924
Comment:
    Capital Works Tab</t>
      </text>
    </comment>
    <comment ref="E26" authorId="5" shapeId="0" xr:uid="{1B0D24A2-2DC7-4FDE-BE0B-AC09B5B5C888}">
      <text>
        <t>[Threaded comment]
Your version of Excel allows you to read this threaded comment; however, any edits to it will get removed if the file is opened in a newer version of Excel. Learn more: https://go.microsoft.com/fwlink/?linkid=870924
Comment:
    New rent from September 2022 - Rate Unknown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tc={57293827-010C-454A-8CEA-AD93624F4CB8}</author>
    <author>tc={4C058F96-6E0F-48CA-88D7-22580F6EC8FA}</author>
    <author>tc={CF3F9701-13A4-45DD-912D-8E2EA6E43FF9}</author>
    <author>tc={F3576FF1-AB18-4C77-BD17-8F6429E222BF}</author>
    <author>tc={533CC7DE-2AAF-4227-9F2C-F4068CF64B40}</author>
    <author>tc={EC37258F-76BD-4394-9046-9BBB4A2012A9}</author>
  </authors>
  <commentList>
    <comment ref="E2" authorId="0" shapeId="0" xr:uid="{57293827-010C-454A-8CEA-AD93624F4CB8}">
      <text>
        <t>[Threaded comment]
Your version of Excel allows you to read this threaded comment; however, any edits to it will get removed if the file is opened in a newer version of Excel. Learn more: https://go.microsoft.com/fwlink/?linkid=870924
Comment:
    Assumption 6.6% Handman wage increase , Clerk to SP 17 (+5% from 2020)</t>
      </text>
    </comment>
    <comment ref="E12" authorId="1" shapeId="0" xr:uid="{4C058F96-6E0F-48CA-88D7-22580F6EC8FA}">
      <text>
        <t>[Threaded comment]
Your version of Excel allows you to read this threaded comment; however, any edits to it will get removed if the file is opened in a newer version of Excel. Learn more: https://go.microsoft.com/fwlink/?linkid=870924
Comment:
    4.45% Increase</t>
      </text>
    </comment>
    <comment ref="E13" authorId="2" shapeId="0" xr:uid="{CF3F9701-13A4-45DD-912D-8E2EA6E43FF9}">
      <text>
        <t>[Threaded comment]
Your version of Excel allows you to read this threaded comment; however, any edits to it will get removed if the file is opened in a newer version of Excel. Learn more: https://go.microsoft.com/fwlink/?linkid=870924
Comment:
    budget 5%</t>
      </text>
    </comment>
    <comment ref="E17" authorId="3" shapeId="0" xr:uid="{F3576FF1-AB18-4C77-BD17-8F6429E222BF}">
      <text>
        <t>[Threaded comment]
Your version of Excel allows you to read this threaded comment; however, any edits to it will get removed if the file is opened in a newer version of Excel. Learn more: https://go.microsoft.com/fwlink/?linkid=870924
Comment:
    Estimate</t>
      </text>
    </comment>
    <comment ref="E22" authorId="4" shapeId="0" xr:uid="{533CC7DE-2AAF-4227-9F2C-F4068CF64B40}">
      <text>
        <t>[Threaded comment]
Your version of Excel allows you to read this threaded comment; however, any edits to it will get removed if the file is opened in a newer version of Excel. Learn more: https://go.microsoft.com/fwlink/?linkid=870924
Comment:
    Capital Works Tab</t>
      </text>
    </comment>
    <comment ref="E26" authorId="5" shapeId="0" xr:uid="{EC37258F-76BD-4394-9046-9BBB4A2012A9}">
      <text>
        <t>[Threaded comment]
Your version of Excel allows you to read this threaded comment; however, any edits to it will get removed if the file is opened in a newer version of Excel. Learn more: https://go.microsoft.com/fwlink/?linkid=870924
Comment:
    New rent from September 2022 - Rate Unknown</t>
      </text>
    </comment>
  </commentList>
</comments>
</file>

<file path=xl/sharedStrings.xml><?xml version="1.0" encoding="utf-8"?>
<sst xmlns="http://schemas.openxmlformats.org/spreadsheetml/2006/main" count="428" uniqueCount="213">
  <si>
    <t>Precept</t>
  </si>
  <si>
    <t>2016 to 2017</t>
  </si>
  <si>
    <t>2017 to 2018</t>
  </si>
  <si>
    <t>2018 to 2019</t>
  </si>
  <si>
    <t>2019 to 2020</t>
  </si>
  <si>
    <t>2020 to 2021</t>
  </si>
  <si>
    <t>2021 to 2022</t>
  </si>
  <si>
    <t>Budget</t>
  </si>
  <si>
    <t>Underspend</t>
  </si>
  <si>
    <t>End Of year balance</t>
  </si>
  <si>
    <t>STAFF COSTS</t>
  </si>
  <si>
    <t>ADMINISTRATION</t>
  </si>
  <si>
    <t>PARKS &amp;
 OPEN SPACES</t>
  </si>
  <si>
    <t>ALLOTMENTS</t>
  </si>
  <si>
    <t>salary</t>
  </si>
  <si>
    <t>Pension</t>
  </si>
  <si>
    <t>Paye</t>
  </si>
  <si>
    <t>training</t>
  </si>
  <si>
    <t>Web Services</t>
  </si>
  <si>
    <t>Ofice Equipment (Stationery +Postage)</t>
  </si>
  <si>
    <t>Utilities</t>
  </si>
  <si>
    <t>Bank Fees</t>
  </si>
  <si>
    <t>Village Hall car parking</t>
  </si>
  <si>
    <t>Office Rent</t>
  </si>
  <si>
    <t>insurance</t>
  </si>
  <si>
    <t xml:space="preserve">Subscriptions
</t>
  </si>
  <si>
    <t>Accountancy &amp; Audit</t>
  </si>
  <si>
    <t>Handyman Equipment</t>
  </si>
  <si>
    <t>External Labour</t>
  </si>
  <si>
    <t>Grounds Maintenace Contract</t>
  </si>
  <si>
    <t>Top up Capital Works</t>
  </si>
  <si>
    <t>Holiday Activities</t>
  </si>
  <si>
    <t>water</t>
  </si>
  <si>
    <t>Rent</t>
  </si>
  <si>
    <t>S137</t>
  </si>
  <si>
    <t>New Budget</t>
  </si>
  <si>
    <t>Title</t>
  </si>
  <si>
    <t>RPI All Items: Percentage change over 12 months: Jan 1987=100</t>
  </si>
  <si>
    <t>CDID</t>
  </si>
  <si>
    <t>CZBH</t>
  </si>
  <si>
    <t>Source dataset ID</t>
  </si>
  <si>
    <t>MM23</t>
  </si>
  <si>
    <t>PreUnit</t>
  </si>
  <si>
    <t/>
  </si>
  <si>
    <t>Unit</t>
  </si>
  <si>
    <t>%</t>
  </si>
  <si>
    <t>Release date</t>
  </si>
  <si>
    <t>15-09-2021</t>
  </si>
  <si>
    <t>Next release</t>
  </si>
  <si>
    <t>20 October 2021</t>
  </si>
  <si>
    <t>Important notes</t>
  </si>
  <si>
    <t>2020 AUG</t>
  </si>
  <si>
    <t>2020 SEP</t>
  </si>
  <si>
    <t>2020 OCT</t>
  </si>
  <si>
    <t>2020 NOV</t>
  </si>
  <si>
    <t>2020 DEC</t>
  </si>
  <si>
    <t>2021 JAN</t>
  </si>
  <si>
    <t>2021 FEB</t>
  </si>
  <si>
    <t>Avr 2.3%</t>
  </si>
  <si>
    <t>2021 MAR</t>
  </si>
  <si>
    <t>2021 APR</t>
  </si>
  <si>
    <t>2021 MAY</t>
  </si>
  <si>
    <t>2021 JUN</t>
  </si>
  <si>
    <t>2021 JUL</t>
  </si>
  <si>
    <t>2021 AUG</t>
  </si>
  <si>
    <t>Forecast / Spend</t>
  </si>
  <si>
    <t>Committed Spend 2021-2022</t>
  </si>
  <si>
    <t>Date FY</t>
  </si>
  <si>
    <t>Location</t>
  </si>
  <si>
    <t>Details</t>
  </si>
  <si>
    <t>Value
£</t>
  </si>
  <si>
    <t>2021-2022</t>
  </si>
  <si>
    <t>HS</t>
  </si>
  <si>
    <t>Howe Street Multi Play</t>
  </si>
  <si>
    <t>FE</t>
  </si>
  <si>
    <t>2 Picnic Tables (+Installation)</t>
  </si>
  <si>
    <t>GW</t>
  </si>
  <si>
    <t>Legal Fees - Blossum Way</t>
  </si>
  <si>
    <t>Car Park Sign</t>
  </si>
  <si>
    <t>Bin at Bus stop</t>
  </si>
  <si>
    <t>2022-2023</t>
  </si>
  <si>
    <t>Path at Ford End</t>
  </si>
  <si>
    <t>Speed Cameras</t>
  </si>
  <si>
    <t>**Cash held in Reserve**</t>
  </si>
  <si>
    <t>Verti Quake FE</t>
  </si>
  <si>
    <t>2023-2024</t>
  </si>
  <si>
    <t>GW Tower</t>
  </si>
  <si>
    <t>Fe Muga/Goal end</t>
  </si>
  <si>
    <t>Howe Street bench (Recycled Material)</t>
  </si>
  <si>
    <t>2 Benches (plus Installation)</t>
  </si>
  <si>
    <t>GW Pavillion Works</t>
  </si>
  <si>
    <t>Gw Pavillion External Works</t>
  </si>
  <si>
    <t>Grants</t>
  </si>
  <si>
    <t>Income</t>
  </si>
  <si>
    <t>Allotments</t>
  </si>
  <si>
    <t>Vat Reclaim</t>
  </si>
  <si>
    <t>CIL</t>
  </si>
  <si>
    <t>No Vat</t>
  </si>
  <si>
    <t>Additional Vat - depends on spend</t>
  </si>
  <si>
    <t>*** Potential CIF***</t>
  </si>
  <si>
    <t>Funding</t>
  </si>
  <si>
    <t>Comparison of Spend on recreation Grounds</t>
  </si>
  <si>
    <t>Date</t>
  </si>
  <si>
    <t>Site</t>
  </si>
  <si>
    <t>Item</t>
  </si>
  <si>
    <t>Spend GW</t>
  </si>
  <si>
    <t>Spend HS</t>
  </si>
  <si>
    <t>Spend FE</t>
  </si>
  <si>
    <t>Spend Other</t>
  </si>
  <si>
    <t>Route</t>
  </si>
  <si>
    <t>Amount In</t>
  </si>
  <si>
    <t>2017-2018</t>
  </si>
  <si>
    <t>Concrete Table Tennis Unit</t>
  </si>
  <si>
    <t>2019-2020</t>
  </si>
  <si>
    <t>New Fence</t>
  </si>
  <si>
    <t>2020-2021</t>
  </si>
  <si>
    <t>Roof On Sports Pavillion</t>
  </si>
  <si>
    <t>Bench</t>
  </si>
  <si>
    <t xml:space="preserve">Locality Fund </t>
  </si>
  <si>
    <t>Repairs at Playground</t>
  </si>
  <si>
    <t>MUGA</t>
  </si>
  <si>
    <t>CIF</t>
  </si>
  <si>
    <t>BG</t>
  </si>
  <si>
    <t>Bollards around Green</t>
  </si>
  <si>
    <t>Fencing Ford End</t>
  </si>
  <si>
    <t>Trees at Ford End</t>
  </si>
  <si>
    <t>MultiSports</t>
  </si>
  <si>
    <t>Pavillion Refurbishment</t>
  </si>
  <si>
    <t>Pavillion Kitchen</t>
  </si>
  <si>
    <t>Football Pitch works</t>
  </si>
  <si>
    <t>GW = Great Waltham</t>
  </si>
  <si>
    <t>HS = Howe Street</t>
  </si>
  <si>
    <t>FE = Ford End</t>
  </si>
  <si>
    <t>Install Seesaw</t>
  </si>
  <si>
    <t>Locality Fund</t>
  </si>
  <si>
    <t>Tree Works</t>
  </si>
  <si>
    <t>Increase</t>
  </si>
  <si>
    <t>Band D 2022-2023</t>
  </si>
  <si>
    <t>Minus Income 1</t>
  </si>
  <si>
    <t>Minus Additional VAT</t>
  </si>
  <si>
    <t xml:space="preserve">Precept </t>
  </si>
  <si>
    <t>2022 to 2023</t>
  </si>
  <si>
    <t>Top Up general Reserve</t>
  </si>
  <si>
    <t xml:space="preserve">Reserve Should be </t>
  </si>
  <si>
    <t>Vat Reclaim (In account)</t>
  </si>
  <si>
    <t>On hand</t>
  </si>
  <si>
    <t>Shortfall</t>
  </si>
  <si>
    <t>This can be made up from a precept demand / budget item</t>
  </si>
  <si>
    <t>or</t>
  </si>
  <si>
    <t>The additional Vat that can be reclaimed if we spend on equipment</t>
  </si>
  <si>
    <t>Forecast Underspend</t>
  </si>
  <si>
    <t>50% to Capital Works</t>
  </si>
  <si>
    <t>Previous Precept</t>
  </si>
  <si>
    <t>% Increase</t>
  </si>
  <si>
    <t xml:space="preserve">Localilty Fund </t>
  </si>
  <si>
    <t xml:space="preserve">VAT </t>
  </si>
  <si>
    <t>Minimum Budget</t>
  </si>
  <si>
    <t>No Replacement of Playground equipment</t>
  </si>
  <si>
    <t>No external Labour</t>
  </si>
  <si>
    <t>Replacement of the Multiplay at Howe street</t>
  </si>
  <si>
    <t>General Reserve rebuilt</t>
  </si>
  <si>
    <t>Tree Works - 12 months works</t>
  </si>
  <si>
    <t>Budget Overview</t>
  </si>
  <si>
    <t>Maximum Budget</t>
  </si>
  <si>
    <t>Recommended Budget</t>
  </si>
  <si>
    <t>Recommened Budget</t>
  </si>
  <si>
    <t>Budget 50% of the costs for Play equipment at Howe Street 2023</t>
  </si>
  <si>
    <t>Reserves have been spent on bringing the Pavillion up to standard.</t>
  </si>
  <si>
    <t>Tree works - both 6 months and some of 12 months estimated works</t>
  </si>
  <si>
    <t>Reserves have been spent updating Play equipment at Ford End</t>
  </si>
  <si>
    <t>Precept 2021-2022</t>
  </si>
  <si>
    <t>band D 2021-2022</t>
  </si>
  <si>
    <r>
      <t xml:space="preserve">Band D </t>
    </r>
    <r>
      <rPr>
        <b/>
        <sz val="11"/>
        <color theme="1"/>
        <rFont val="Calibri"/>
        <family val="2"/>
        <scheme val="minor"/>
      </rPr>
      <t>Increase</t>
    </r>
    <r>
      <rPr>
        <sz val="11"/>
        <color theme="1"/>
        <rFont val="Calibri"/>
        <family val="2"/>
        <scheme val="minor"/>
      </rPr>
      <t xml:space="preserve">
 Per Annum</t>
    </r>
  </si>
  <si>
    <t>Current Band D</t>
  </si>
  <si>
    <t xml:space="preserve"> Precept Increase %</t>
  </si>
  <si>
    <t>% Increase Band D</t>
  </si>
  <si>
    <t>Parish</t>
  </si>
  <si>
    <t>2020/21</t>
  </si>
  <si>
    <t>(£)</t>
  </si>
  <si>
    <t>2021/22</t>
  </si>
  <si>
    <t>Boreham</t>
  </si>
  <si>
    <t>Broomfield</t>
  </si>
  <si>
    <t>Chignal</t>
  </si>
  <si>
    <t>Danbury</t>
  </si>
  <si>
    <t>Galleywood</t>
  </si>
  <si>
    <t>Highwood</t>
  </si>
  <si>
    <t>Margaretting</t>
  </si>
  <si>
    <t>Mashbury</t>
  </si>
  <si>
    <t>Pleshey</t>
  </si>
  <si>
    <t>Rettendon</t>
  </si>
  <si>
    <t>Roxwell</t>
  </si>
  <si>
    <t>Runwell</t>
  </si>
  <si>
    <t>Sandon</t>
  </si>
  <si>
    <t>Springfield</t>
  </si>
  <si>
    <t>Stock</t>
  </si>
  <si>
    <t>Writtle</t>
  </si>
  <si>
    <t>Great Waltham</t>
  </si>
  <si>
    <t>Little Waltham</t>
  </si>
  <si>
    <t>South Woodham Ferrers</t>
  </si>
  <si>
    <t>Woodham Ferrers and Bicknacre</t>
  </si>
  <si>
    <t>Great and Little leighs</t>
  </si>
  <si>
    <t>Good Easter</t>
  </si>
  <si>
    <t>East Hanningfield</t>
  </si>
  <si>
    <t>South Hanningfield</t>
  </si>
  <si>
    <t>West Hanningfield</t>
  </si>
  <si>
    <t>Little Baddow</t>
  </si>
  <si>
    <t>Great Baddow</t>
  </si>
  <si>
    <t>Parish  and Town Council Spending</t>
  </si>
  <si>
    <t>The table below shows each Parish and Town Councils Council Tax requirment (How much they need)</t>
  </si>
  <si>
    <t>Band D Property (£)</t>
  </si>
  <si>
    <t>Parish Share Band D(£)</t>
  </si>
  <si>
    <t>Budget Maximum</t>
  </si>
  <si>
    <t>Reserves have been depleted and need to be rebuilt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</si>
</sst>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  <numFmt numFmtId="165" formatCode="0.0"/>
    <numFmt numFmtId="166" formatCode="&quot;£&quot;#,##0"/>
  </numFmts>
  <fonts count="1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Helvetica Neue"/>
    </font>
    <font>
      <sz val="10"/>
      <color rgb="FF000000"/>
      <name val="Helvetica Neue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10"/>
      <color rgb="FF000000"/>
      <name val="Calibri"/>
      <family val="2"/>
    </font>
    <font>
      <sz val="10"/>
      <name val="Arial"/>
      <family val="2"/>
    </font>
    <font>
      <b/>
      <u/>
      <sz val="12"/>
      <color rgb="FF000000"/>
      <name val="Arial"/>
      <family val="2"/>
    </font>
    <font>
      <b/>
      <u/>
      <sz val="10"/>
      <color rgb="FF000000"/>
      <name val="Arial"/>
      <family val="2"/>
    </font>
    <font>
      <sz val="10"/>
      <name val="Helvetica Neue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u/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C2D69B"/>
        <bgColor rgb="FFC2D69B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C2D69B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C2D69B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AAAAAA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161">
    <xf numFmtId="0" fontId="0" fillId="0" borderId="0" xfId="0"/>
    <xf numFmtId="0" fontId="0" fillId="0" borderId="0" xfId="0" applyAlignment="1">
      <alignment horizontal="center"/>
    </xf>
    <xf numFmtId="6" fontId="0" fillId="0" borderId="0" xfId="0" applyNumberFormat="1" applyAlignment="1">
      <alignment horizontal="center"/>
    </xf>
    <xf numFmtId="6" fontId="0" fillId="0" borderId="0" xfId="0" applyNumberFormat="1"/>
    <xf numFmtId="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/>
    </xf>
    <xf numFmtId="6" fontId="2" fillId="0" borderId="0" xfId="0" applyNumberFormat="1" applyFont="1" applyAlignment="1">
      <alignment horizontal="center"/>
    </xf>
    <xf numFmtId="6" fontId="2" fillId="0" borderId="0" xfId="0" applyNumberFormat="1" applyFont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0" fillId="4" borderId="0" xfId="0" applyFill="1" applyAlignment="1">
      <alignment vertical="top" wrapText="1"/>
    </xf>
    <xf numFmtId="0" fontId="0" fillId="4" borderId="0" xfId="0" applyFill="1" applyAlignment="1">
      <alignment horizontal="center" vertical="center" wrapText="1"/>
    </xf>
    <xf numFmtId="0" fontId="0" fillId="0" borderId="0" xfId="0" applyAlignment="1">
      <alignment vertical="top" wrapText="1"/>
    </xf>
    <xf numFmtId="8" fontId="0" fillId="0" borderId="0" xfId="0" applyNumberFormat="1"/>
    <xf numFmtId="165" fontId="0" fillId="0" borderId="0" xfId="0" applyNumberFormat="1"/>
    <xf numFmtId="165" fontId="0" fillId="0" borderId="8" xfId="0" applyNumberFormat="1" applyBorder="1"/>
    <xf numFmtId="165" fontId="0" fillId="0" borderId="9" xfId="0" applyNumberFormat="1" applyBorder="1"/>
    <xf numFmtId="0" fontId="8" fillId="0" borderId="0" xfId="0" applyFont="1"/>
    <xf numFmtId="165" fontId="0" fillId="0" borderId="10" xfId="0" applyNumberFormat="1" applyBorder="1"/>
    <xf numFmtId="8" fontId="0" fillId="0" borderId="0" xfId="0" applyNumberFormat="1" applyAlignment="1">
      <alignment horizontal="center"/>
    </xf>
    <xf numFmtId="49" fontId="9" fillId="0" borderId="11" xfId="1" applyNumberFormat="1" applyFont="1" applyBorder="1" applyAlignment="1">
      <alignment vertical="center"/>
    </xf>
    <xf numFmtId="0" fontId="4" fillId="0" borderId="0" xfId="1" applyAlignment="1">
      <alignment vertical="top" wrapText="1"/>
    </xf>
    <xf numFmtId="166" fontId="3" fillId="0" borderId="7" xfId="1" applyNumberFormat="1" applyFont="1" applyBorder="1" applyAlignment="1">
      <alignment horizontal="center" vertical="top" wrapText="1"/>
    </xf>
    <xf numFmtId="49" fontId="10" fillId="0" borderId="12" xfId="1" applyNumberFormat="1" applyFont="1" applyBorder="1" applyAlignment="1">
      <alignment vertical="center"/>
    </xf>
    <xf numFmtId="0" fontId="11" fillId="0" borderId="12" xfId="1" applyFont="1" applyBorder="1" applyAlignment="1">
      <alignment vertical="top" wrapText="1"/>
    </xf>
    <xf numFmtId="166" fontId="4" fillId="0" borderId="0" xfId="1" applyNumberFormat="1" applyAlignment="1">
      <alignment horizontal="center" vertical="top" wrapText="1"/>
    </xf>
    <xf numFmtId="8" fontId="4" fillId="0" borderId="0" xfId="1" applyNumberFormat="1" applyAlignment="1">
      <alignment horizontal="left" vertical="center" wrapText="1"/>
    </xf>
    <xf numFmtId="49" fontId="12" fillId="10" borderId="7" xfId="1" applyNumberFormat="1" applyFont="1" applyFill="1" applyBorder="1" applyAlignment="1">
      <alignment horizontal="center" vertical="top"/>
    </xf>
    <xf numFmtId="166" fontId="12" fillId="11" borderId="7" xfId="1" applyNumberFormat="1" applyFont="1" applyFill="1" applyBorder="1" applyAlignment="1">
      <alignment horizontal="center" vertical="center" wrapText="1"/>
    </xf>
    <xf numFmtId="8" fontId="3" fillId="11" borderId="7" xfId="1" applyNumberFormat="1" applyFont="1" applyFill="1" applyBorder="1" applyAlignment="1">
      <alignment horizontal="center" vertical="center" wrapText="1"/>
    </xf>
    <xf numFmtId="14" fontId="8" fillId="12" borderId="7" xfId="1" applyNumberFormat="1" applyFont="1" applyFill="1" applyBorder="1" applyAlignment="1">
      <alignment horizontal="center" vertical="top" wrapText="1"/>
    </xf>
    <xf numFmtId="0" fontId="8" fillId="12" borderId="7" xfId="1" applyFont="1" applyFill="1" applyBorder="1" applyAlignment="1">
      <alignment horizontal="center" vertical="top" wrapText="1"/>
    </xf>
    <xf numFmtId="0" fontId="13" fillId="0" borderId="7" xfId="1" applyFont="1" applyBorder="1" applyAlignment="1">
      <alignment vertical="center" wrapText="1"/>
    </xf>
    <xf numFmtId="166" fontId="13" fillId="0" borderId="7" xfId="1" applyNumberFormat="1" applyFont="1" applyBorder="1" applyAlignment="1">
      <alignment horizontal="center" vertical="center" wrapText="1"/>
    </xf>
    <xf numFmtId="8" fontId="13" fillId="12" borderId="7" xfId="1" applyNumberFormat="1" applyFont="1" applyFill="1" applyBorder="1" applyAlignment="1">
      <alignment horizontal="left" vertical="center" wrapText="1"/>
    </xf>
    <xf numFmtId="49" fontId="13" fillId="12" borderId="7" xfId="1" applyNumberFormat="1" applyFont="1" applyFill="1" applyBorder="1" applyAlignment="1">
      <alignment vertical="top" wrapText="1"/>
    </xf>
    <xf numFmtId="166" fontId="13" fillId="12" borderId="7" xfId="1" applyNumberFormat="1" applyFont="1" applyFill="1" applyBorder="1" applyAlignment="1">
      <alignment horizontal="center" vertical="center"/>
    </xf>
    <xf numFmtId="0" fontId="13" fillId="13" borderId="7" xfId="1" applyFont="1" applyFill="1" applyBorder="1" applyAlignment="1">
      <alignment vertical="center" wrapText="1"/>
    </xf>
    <xf numFmtId="166" fontId="13" fillId="12" borderId="7" xfId="1" applyNumberFormat="1" applyFont="1" applyFill="1" applyBorder="1" applyAlignment="1">
      <alignment horizontal="center" vertical="center" wrapText="1"/>
    </xf>
    <xf numFmtId="8" fontId="13" fillId="12" borderId="13" xfId="1" applyNumberFormat="1" applyFont="1" applyFill="1" applyBorder="1" applyAlignment="1">
      <alignment horizontal="left" vertical="center" wrapText="1"/>
    </xf>
    <xf numFmtId="8" fontId="13" fillId="11" borderId="13" xfId="1" applyNumberFormat="1" applyFont="1" applyFill="1" applyBorder="1" applyAlignment="1">
      <alignment horizontal="left" vertical="center" wrapText="1"/>
    </xf>
    <xf numFmtId="0" fontId="11" fillId="12" borderId="7" xfId="1" applyFont="1" applyFill="1" applyBorder="1" applyAlignment="1">
      <alignment horizontal="center" vertical="top" wrapText="1"/>
    </xf>
    <xf numFmtId="0" fontId="13" fillId="12" borderId="7" xfId="1" applyFont="1" applyFill="1" applyBorder="1" applyAlignment="1">
      <alignment vertical="center" wrapText="1"/>
    </xf>
    <xf numFmtId="8" fontId="4" fillId="12" borderId="7" xfId="1" applyNumberFormat="1" applyFill="1" applyBorder="1" applyAlignment="1">
      <alignment horizontal="left" vertical="center" wrapText="1"/>
    </xf>
    <xf numFmtId="166" fontId="4" fillId="12" borderId="7" xfId="1" applyNumberFormat="1" applyFill="1" applyBorder="1" applyAlignment="1">
      <alignment horizontal="center" vertical="center" wrapText="1"/>
    </xf>
    <xf numFmtId="0" fontId="4" fillId="0" borderId="7" xfId="1" applyBorder="1" applyAlignment="1">
      <alignment horizontal="left" vertical="top" wrapText="1"/>
    </xf>
    <xf numFmtId="0" fontId="4" fillId="12" borderId="7" xfId="1" applyFill="1" applyBorder="1" applyAlignment="1">
      <alignment vertical="top" wrapText="1"/>
    </xf>
    <xf numFmtId="0" fontId="13" fillId="12" borderId="7" xfId="1" applyFont="1" applyFill="1" applyBorder="1" applyAlignment="1">
      <alignment vertical="center"/>
    </xf>
    <xf numFmtId="0" fontId="4" fillId="12" borderId="7" xfId="1" applyFill="1" applyBorder="1"/>
    <xf numFmtId="0" fontId="14" fillId="12" borderId="7" xfId="1" applyFont="1" applyFill="1" applyBorder="1"/>
    <xf numFmtId="15" fontId="4" fillId="12" borderId="7" xfId="1" applyNumberFormat="1" applyFill="1" applyBorder="1" applyAlignment="1">
      <alignment horizontal="center"/>
    </xf>
    <xf numFmtId="166" fontId="4" fillId="12" borderId="7" xfId="1" applyNumberFormat="1" applyFill="1" applyBorder="1" applyAlignment="1">
      <alignment horizontal="center"/>
    </xf>
    <xf numFmtId="0" fontId="13" fillId="0" borderId="7" xfId="1" applyFont="1" applyBorder="1" applyAlignment="1">
      <alignment horizontal="left" vertical="center" wrapText="1"/>
    </xf>
    <xf numFmtId="166" fontId="13" fillId="11" borderId="7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top" wrapText="1"/>
    </xf>
    <xf numFmtId="0" fontId="13" fillId="4" borderId="7" xfId="1" applyFont="1" applyFill="1" applyBorder="1" applyAlignment="1">
      <alignment vertical="center" wrapText="1"/>
    </xf>
    <xf numFmtId="166" fontId="13" fillId="4" borderId="7" xfId="1" applyNumberFormat="1" applyFont="1" applyFill="1" applyBorder="1" applyAlignment="1">
      <alignment horizontal="center" vertical="center" wrapText="1"/>
    </xf>
    <xf numFmtId="8" fontId="13" fillId="4" borderId="7" xfId="1" applyNumberFormat="1" applyFont="1" applyFill="1" applyBorder="1" applyAlignment="1">
      <alignment horizontal="left" vertical="center" wrapText="1"/>
    </xf>
    <xf numFmtId="0" fontId="0" fillId="4" borderId="0" xfId="0" applyFill="1"/>
    <xf numFmtId="0" fontId="0" fillId="12" borderId="0" xfId="0" applyFill="1" applyBorder="1" applyAlignment="1">
      <alignment horizontal="center" vertical="center" wrapText="1"/>
    </xf>
    <xf numFmtId="0" fontId="2" fillId="0" borderId="0" xfId="0" applyFont="1"/>
    <xf numFmtId="0" fontId="15" fillId="0" borderId="0" xfId="0" applyFont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6" fontId="0" fillId="0" borderId="9" xfId="0" applyNumberFormat="1" applyBorder="1" applyAlignment="1">
      <alignment horizontal="center" vertical="center"/>
    </xf>
    <xf numFmtId="8" fontId="2" fillId="0" borderId="8" xfId="0" applyNumberFormat="1" applyFont="1" applyBorder="1"/>
    <xf numFmtId="6" fontId="0" fillId="4" borderId="9" xfId="0" applyNumberFormat="1" applyFill="1" applyBorder="1" applyAlignment="1">
      <alignment horizontal="center" vertical="center"/>
    </xf>
    <xf numFmtId="8" fontId="0" fillId="4" borderId="9" xfId="0" applyNumberFormat="1" applyFill="1" applyBorder="1"/>
    <xf numFmtId="0" fontId="13" fillId="2" borderId="15" xfId="0" applyFont="1" applyFill="1" applyBorder="1" applyAlignment="1">
      <alignment horizontal="center" vertical="center" wrapText="1"/>
    </xf>
    <xf numFmtId="4" fontId="13" fillId="2" borderId="15" xfId="0" applyNumberFormat="1" applyFont="1" applyFill="1" applyBorder="1" applyAlignment="1">
      <alignment horizontal="center" vertical="center" wrapText="1"/>
    </xf>
    <xf numFmtId="0" fontId="13" fillId="5" borderId="15" xfId="0" applyFont="1" applyFill="1" applyBorder="1" applyAlignment="1">
      <alignment horizontal="center" vertical="center" wrapText="1"/>
    </xf>
    <xf numFmtId="0" fontId="16" fillId="9" borderId="15" xfId="0" applyFont="1" applyFill="1" applyBorder="1" applyAlignment="1">
      <alignment horizontal="center" vertical="center" wrapText="1"/>
    </xf>
    <xf numFmtId="0" fontId="2" fillId="0" borderId="2" xfId="0" applyFont="1" applyBorder="1"/>
    <xf numFmtId="6" fontId="0" fillId="0" borderId="0" xfId="0" applyNumberFormat="1" applyBorder="1" applyAlignment="1">
      <alignment horizontal="center" vertical="center" wrapText="1"/>
    </xf>
    <xf numFmtId="6" fontId="0" fillId="4" borderId="0" xfId="0" applyNumberFormat="1" applyFill="1" applyBorder="1" applyAlignment="1">
      <alignment horizontal="center" vertical="center" wrapText="1"/>
    </xf>
    <xf numFmtId="6" fontId="0" fillId="0" borderId="0" xfId="0" applyNumberFormat="1" applyBorder="1" applyAlignment="1">
      <alignment horizontal="center" vertical="center"/>
    </xf>
    <xf numFmtId="0" fontId="0" fillId="4" borderId="16" xfId="0" applyFill="1" applyBorder="1"/>
    <xf numFmtId="0" fontId="2" fillId="0" borderId="8" xfId="0" applyFont="1" applyBorder="1" applyAlignment="1">
      <alignment horizontal="center"/>
    </xf>
    <xf numFmtId="164" fontId="5" fillId="2" borderId="17" xfId="0" applyNumberFormat="1" applyFont="1" applyFill="1" applyBorder="1" applyAlignment="1">
      <alignment horizontal="center" vertical="center" wrapText="1"/>
    </xf>
    <xf numFmtId="164" fontId="6" fillId="2" borderId="17" xfId="0" applyNumberFormat="1" applyFont="1" applyFill="1" applyBorder="1" applyAlignment="1">
      <alignment horizontal="center" vertical="center" wrapText="1"/>
    </xf>
    <xf numFmtId="164" fontId="6" fillId="5" borderId="17" xfId="0" applyNumberFormat="1" applyFont="1" applyFill="1" applyBorder="1" applyAlignment="1">
      <alignment horizontal="center" vertical="center" wrapText="1"/>
    </xf>
    <xf numFmtId="164" fontId="7" fillId="2" borderId="17" xfId="0" applyNumberFormat="1" applyFont="1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6" fontId="0" fillId="11" borderId="14" xfId="0" applyNumberFormat="1" applyFill="1" applyBorder="1" applyAlignment="1">
      <alignment horizontal="center" vertical="center"/>
    </xf>
    <xf numFmtId="166" fontId="3" fillId="0" borderId="14" xfId="1" applyNumberFormat="1" applyFont="1" applyBorder="1" applyAlignment="1">
      <alignment vertical="top" wrapText="1"/>
    </xf>
    <xf numFmtId="0" fontId="0" fillId="0" borderId="18" xfId="0" applyBorder="1"/>
    <xf numFmtId="6" fontId="0" fillId="0" borderId="19" xfId="0" applyNumberFormat="1" applyFill="1" applyBorder="1"/>
    <xf numFmtId="0" fontId="2" fillId="0" borderId="14" xfId="0" applyFont="1" applyBorder="1"/>
    <xf numFmtId="44" fontId="0" fillId="0" borderId="0" xfId="0" applyNumberFormat="1"/>
    <xf numFmtId="8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44" fontId="1" fillId="0" borderId="0" xfId="0" applyNumberFormat="1" applyFont="1"/>
    <xf numFmtId="8" fontId="17" fillId="0" borderId="0" xfId="0" applyNumberFormat="1" applyFont="1"/>
    <xf numFmtId="44" fontId="2" fillId="0" borderId="0" xfId="0" applyNumberFormat="1" applyFont="1"/>
    <xf numFmtId="0" fontId="13" fillId="14" borderId="15" xfId="0" applyFont="1" applyFill="1" applyBorder="1" applyAlignment="1">
      <alignment horizontal="center" vertical="center" wrapText="1"/>
    </xf>
    <xf numFmtId="164" fontId="6" fillId="14" borderId="17" xfId="0" applyNumberFormat="1" applyFont="1" applyFill="1" applyBorder="1" applyAlignment="1">
      <alignment horizontal="center" vertical="center" wrapText="1"/>
    </xf>
    <xf numFmtId="6" fontId="0" fillId="12" borderId="0" xfId="0" applyNumberFormat="1" applyFill="1" applyBorder="1" applyAlignment="1">
      <alignment horizontal="center" vertical="center" wrapText="1"/>
    </xf>
    <xf numFmtId="6" fontId="0" fillId="12" borderId="9" xfId="0" applyNumberFormat="1" applyFill="1" applyBorder="1" applyAlignment="1">
      <alignment horizontal="center" vertical="center"/>
    </xf>
    <xf numFmtId="10" fontId="0" fillId="0" borderId="0" xfId="0" applyNumberFormat="1"/>
    <xf numFmtId="0" fontId="3" fillId="7" borderId="0" xfId="0" applyFont="1" applyFill="1" applyAlignment="1">
      <alignment horizontal="center" vertical="center" wrapText="1"/>
    </xf>
    <xf numFmtId="8" fontId="0" fillId="0" borderId="10" xfId="0" applyNumberFormat="1" applyBorder="1" applyAlignment="1">
      <alignment horizontal="center" vertical="center"/>
    </xf>
    <xf numFmtId="8" fontId="2" fillId="3" borderId="14" xfId="0" applyNumberFormat="1" applyFont="1" applyFill="1" applyBorder="1" applyAlignment="1">
      <alignment horizontal="center" vertical="center"/>
    </xf>
    <xf numFmtId="8" fontId="0" fillId="0" borderId="20" xfId="0" applyNumberFormat="1" applyBorder="1"/>
    <xf numFmtId="6" fontId="2" fillId="11" borderId="0" xfId="0" applyNumberFormat="1" applyFont="1" applyFill="1" applyAlignment="1">
      <alignment horizontal="center"/>
    </xf>
    <xf numFmtId="164" fontId="0" fillId="0" borderId="0" xfId="0" applyNumberFormat="1"/>
    <xf numFmtId="0" fontId="0" fillId="0" borderId="0" xfId="0" applyAlignment="1">
      <alignment horizontal="right"/>
    </xf>
    <xf numFmtId="6" fontId="0" fillId="3" borderId="9" xfId="0" applyNumberFormat="1" applyFill="1" applyBorder="1" applyAlignment="1">
      <alignment horizontal="center" vertical="center"/>
    </xf>
    <xf numFmtId="0" fontId="0" fillId="0" borderId="9" xfId="0" applyBorder="1"/>
    <xf numFmtId="0" fontId="2" fillId="0" borderId="8" xfId="0" applyFont="1" applyBorder="1"/>
    <xf numFmtId="166" fontId="13" fillId="11" borderId="7" xfId="1" applyNumberFormat="1" applyFont="1" applyFill="1" applyBorder="1" applyAlignment="1">
      <alignment horizontal="center" vertical="center"/>
    </xf>
    <xf numFmtId="8" fontId="0" fillId="0" borderId="10" xfId="0" applyNumberFormat="1" applyBorder="1"/>
    <xf numFmtId="0" fontId="2" fillId="0" borderId="18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10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7" xfId="0" applyBorder="1"/>
    <xf numFmtId="8" fontId="0" fillId="0" borderId="7" xfId="0" applyNumberFormat="1" applyBorder="1" applyAlignment="1">
      <alignment horizontal="center" vertical="center"/>
    </xf>
    <xf numFmtId="0" fontId="2" fillId="0" borderId="18" xfId="0" applyFont="1" applyBorder="1"/>
    <xf numFmtId="0" fontId="0" fillId="0" borderId="22" xfId="0" applyBorder="1" applyAlignment="1"/>
    <xf numFmtId="0" fontId="0" fillId="0" borderId="23" xfId="0" applyBorder="1" applyAlignment="1"/>
    <xf numFmtId="8" fontId="0" fillId="0" borderId="21" xfId="0" applyNumberFormat="1" applyBorder="1" applyAlignment="1">
      <alignment horizontal="center" vertical="center"/>
    </xf>
    <xf numFmtId="10" fontId="0" fillId="0" borderId="21" xfId="0" applyNumberFormat="1" applyBorder="1" applyAlignment="1">
      <alignment horizontal="center" vertical="center"/>
    </xf>
    <xf numFmtId="10" fontId="0" fillId="0" borderId="0" xfId="0" applyNumberFormat="1" applyAlignment="1">
      <alignment horizontal="center"/>
    </xf>
    <xf numFmtId="10" fontId="2" fillId="0" borderId="19" xfId="0" applyNumberFormat="1" applyFont="1" applyBorder="1" applyAlignment="1">
      <alignment horizontal="center"/>
    </xf>
    <xf numFmtId="0" fontId="0" fillId="0" borderId="22" xfId="0" applyBorder="1" applyAlignment="1"/>
    <xf numFmtId="0" fontId="3" fillId="3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/>
    <xf numFmtId="0" fontId="0" fillId="0" borderId="6" xfId="0" applyBorder="1" applyAlignment="1"/>
    <xf numFmtId="0" fontId="0" fillId="0" borderId="22" xfId="0" applyBorder="1" applyAlignment="1"/>
    <xf numFmtId="0" fontId="0" fillId="0" borderId="23" xfId="0" applyBorder="1" applyAlignment="1"/>
    <xf numFmtId="8" fontId="0" fillId="0" borderId="22" xfId="0" applyNumberFormat="1" applyBorder="1" applyAlignment="1"/>
    <xf numFmtId="0" fontId="0" fillId="0" borderId="24" xfId="0" applyBorder="1" applyAlignment="1"/>
    <xf numFmtId="0" fontId="0" fillId="0" borderId="25" xfId="0" applyBorder="1" applyAlignment="1"/>
    <xf numFmtId="0" fontId="3" fillId="7" borderId="4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8" fontId="0" fillId="0" borderId="0" xfId="0" applyNumberFormat="1" applyAlignment="1">
      <alignment horizontal="center" vertical="center"/>
    </xf>
    <xf numFmtId="6" fontId="0" fillId="11" borderId="9" xfId="0" applyNumberFormat="1" applyFill="1" applyBorder="1" applyAlignment="1">
      <alignment horizontal="center" vertical="center"/>
    </xf>
    <xf numFmtId="8" fontId="0" fillId="0" borderId="7" xfId="0" applyNumberFormat="1" applyBorder="1" applyAlignment="1">
      <alignment horizontal="center"/>
    </xf>
    <xf numFmtId="10" fontId="0" fillId="0" borderId="0" xfId="0" applyNumberFormat="1" applyAlignment="1">
      <alignment horizontal="center" vertical="center"/>
    </xf>
    <xf numFmtId="8" fontId="2" fillId="11" borderId="21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3" fontId="0" fillId="0" borderId="0" xfId="0" applyNumberFormat="1"/>
    <xf numFmtId="0" fontId="2" fillId="0" borderId="0" xfId="0" applyFont="1" applyAlignment="1">
      <alignment horizontal="center" vertical="center"/>
    </xf>
    <xf numFmtId="0" fontId="0" fillId="0" borderId="0" xfId="0" applyBorder="1"/>
    <xf numFmtId="8" fontId="0" fillId="0" borderId="0" xfId="0" applyNumberFormat="1" applyBorder="1" applyAlignment="1">
      <alignment horizontal="center" vertical="center"/>
    </xf>
    <xf numFmtId="10" fontId="0" fillId="0" borderId="0" xfId="0" applyNumberFormat="1" applyBorder="1" applyAlignment="1">
      <alignment horizontal="center" vertical="center"/>
    </xf>
    <xf numFmtId="8" fontId="0" fillId="0" borderId="0" xfId="0" applyNumberFormat="1" applyBorder="1" applyAlignment="1">
      <alignment horizontal="center"/>
    </xf>
    <xf numFmtId="0" fontId="0" fillId="0" borderId="26" xfId="0" applyBorder="1" applyAlignment="1"/>
    <xf numFmtId="0" fontId="0" fillId="0" borderId="27" xfId="0" applyBorder="1" applyAlignment="1"/>
    <xf numFmtId="0" fontId="0" fillId="0" borderId="28" xfId="0" applyBorder="1" applyAlignment="1"/>
    <xf numFmtId="0" fontId="0" fillId="0" borderId="29" xfId="0" applyBorder="1"/>
    <xf numFmtId="0" fontId="0" fillId="0" borderId="2" xfId="0" applyBorder="1" applyAlignment="1"/>
    <xf numFmtId="0" fontId="0" fillId="0" borderId="0" xfId="0" applyBorder="1" applyAlignment="1"/>
    <xf numFmtId="0" fontId="0" fillId="0" borderId="0" xfId="0" applyBorder="1" applyAlignment="1"/>
    <xf numFmtId="0" fontId="0" fillId="0" borderId="16" xfId="0" applyBorder="1" applyAlignment="1"/>
  </cellXfs>
  <cellStyles count="2">
    <cellStyle name="Normal" xfId="0" builtinId="0"/>
    <cellStyle name="Normal 2" xfId="1" xr:uid="{15BBEBA7-2058-4D20-85E1-DBD8A8292F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83820</xdr:colOff>
      <xdr:row>7</xdr:row>
      <xdr:rowOff>91440</xdr:rowOff>
    </xdr:from>
    <xdr:to>
      <xdr:col>9</xdr:col>
      <xdr:colOff>320040</xdr:colOff>
      <xdr:row>21</xdr:row>
      <xdr:rowOff>121920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6BCA1D6B-4CF8-4CDE-B2F1-747485AECB8F}"/>
            </a:ext>
          </a:extLst>
        </xdr:cNvPr>
        <xdr:cNvCxnSpPr/>
      </xdr:nvCxnSpPr>
      <xdr:spPr>
        <a:xfrm flipV="1">
          <a:off x="6362700" y="1417320"/>
          <a:ext cx="2065020" cy="252984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30480</xdr:colOff>
      <xdr:row>1</xdr:row>
      <xdr:rowOff>152400</xdr:rowOff>
    </xdr:from>
    <xdr:to>
      <xdr:col>8</xdr:col>
      <xdr:colOff>525780</xdr:colOff>
      <xdr:row>30</xdr:row>
      <xdr:rowOff>121920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65AE697C-A0D3-4488-B259-384BB9903E46}"/>
            </a:ext>
          </a:extLst>
        </xdr:cNvPr>
        <xdr:cNvCxnSpPr/>
      </xdr:nvCxnSpPr>
      <xdr:spPr>
        <a:xfrm flipV="1">
          <a:off x="6309360" y="342900"/>
          <a:ext cx="1714500" cy="527304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83820</xdr:colOff>
      <xdr:row>7</xdr:row>
      <xdr:rowOff>91440</xdr:rowOff>
    </xdr:from>
    <xdr:to>
      <xdr:col>9</xdr:col>
      <xdr:colOff>320040</xdr:colOff>
      <xdr:row>21</xdr:row>
      <xdr:rowOff>121920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DFAA54E6-4C1B-4A48-AAE6-AE423BD17DF0}"/>
            </a:ext>
          </a:extLst>
        </xdr:cNvPr>
        <xdr:cNvCxnSpPr/>
      </xdr:nvCxnSpPr>
      <xdr:spPr>
        <a:xfrm flipV="1">
          <a:off x="6911340" y="1417320"/>
          <a:ext cx="2065020" cy="291084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30480</xdr:colOff>
      <xdr:row>1</xdr:row>
      <xdr:rowOff>152400</xdr:rowOff>
    </xdr:from>
    <xdr:to>
      <xdr:col>8</xdr:col>
      <xdr:colOff>525780</xdr:colOff>
      <xdr:row>30</xdr:row>
      <xdr:rowOff>121920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99202322-FFBE-4AED-9246-CFD47655A30B}"/>
            </a:ext>
          </a:extLst>
        </xdr:cNvPr>
        <xdr:cNvCxnSpPr/>
      </xdr:nvCxnSpPr>
      <xdr:spPr>
        <a:xfrm flipV="1">
          <a:off x="6858000" y="342900"/>
          <a:ext cx="1714500" cy="565404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83820</xdr:colOff>
      <xdr:row>7</xdr:row>
      <xdr:rowOff>91440</xdr:rowOff>
    </xdr:from>
    <xdr:to>
      <xdr:col>9</xdr:col>
      <xdr:colOff>320040</xdr:colOff>
      <xdr:row>21</xdr:row>
      <xdr:rowOff>121920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6BFD94F6-E589-4FA0-AE61-C2EB29036AC1}"/>
            </a:ext>
          </a:extLst>
        </xdr:cNvPr>
        <xdr:cNvCxnSpPr/>
      </xdr:nvCxnSpPr>
      <xdr:spPr>
        <a:xfrm flipV="1">
          <a:off x="6911340" y="1417320"/>
          <a:ext cx="2065020" cy="291084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30480</xdr:colOff>
      <xdr:row>1</xdr:row>
      <xdr:rowOff>152400</xdr:rowOff>
    </xdr:from>
    <xdr:to>
      <xdr:col>8</xdr:col>
      <xdr:colOff>525780</xdr:colOff>
      <xdr:row>30</xdr:row>
      <xdr:rowOff>121920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E7E12301-3C02-487C-9FEA-1DDE86E78F74}"/>
            </a:ext>
          </a:extLst>
        </xdr:cNvPr>
        <xdr:cNvCxnSpPr/>
      </xdr:nvCxnSpPr>
      <xdr:spPr>
        <a:xfrm flipV="1">
          <a:off x="6858000" y="342900"/>
          <a:ext cx="1714500" cy="565404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will adshead-grant" id="{E0378493-E92D-4ECB-8640-4A54569C383D}" userId="368b990da5c78f7b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2" dT="2021-10-17T19:21:04.76" personId="{E0378493-E92D-4ECB-8640-4A54569C383D}" id="{A7ADA12A-BCCF-4CFC-870D-773013A56781}">
    <text>Assumption 6.6% Handman wage increase , Clerk to SP 17 (+5% from 2020)</text>
  </threadedComment>
  <threadedComment ref="E12" dT="2021-10-17T19:51:35.92" personId="{E0378493-E92D-4ECB-8640-4A54569C383D}" id="{21AD5DD4-B615-4BA2-885F-D7687E871452}">
    <text>4.45% Increase</text>
  </threadedComment>
  <threadedComment ref="E13" dT="2021-10-17T19:53:57.08" personId="{E0378493-E92D-4ECB-8640-4A54569C383D}" id="{39513676-B7FF-45BB-8DBC-5B0953EA5F81}">
    <text>budget 5%</text>
  </threadedComment>
  <threadedComment ref="E17" dT="2021-10-19T22:00:11.50" personId="{E0378493-E92D-4ECB-8640-4A54569C383D}" id="{D95A077F-6702-4064-8971-76B377CEFFD8}">
    <text>Estimate</text>
  </threadedComment>
  <threadedComment ref="E22" dT="2021-10-17T21:17:46.39" personId="{E0378493-E92D-4ECB-8640-4A54569C383D}" id="{262F2EA5-8BC2-4627-9594-EBF0AA742DCA}">
    <text>Capital Works Tab</text>
  </threadedComment>
  <threadedComment ref="E26" dT="2021-11-07T18:32:01.86" personId="{E0378493-E92D-4ECB-8640-4A54569C383D}" id="{5C998B1E-9028-403D-B1B1-AEE1F8EB0C50}">
    <text>New rent from September 2022 - Rate Unknown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2" dT="2021-10-17T19:21:04.76" personId="{E0378493-E92D-4ECB-8640-4A54569C383D}" id="{97EAE4DF-4268-413C-9A4D-7D3E5098A95A}">
    <text>Assumption 6.6% Handman wage increase , Clerk to SP 17 (+5% from 2020)</text>
  </threadedComment>
  <threadedComment ref="E12" dT="2021-10-17T19:51:35.92" personId="{E0378493-E92D-4ECB-8640-4A54569C383D}" id="{BD49E464-4D60-4902-AC53-7D6C83A10165}">
    <text>4.45% Increase</text>
  </threadedComment>
  <threadedComment ref="E13" dT="2021-10-17T19:53:57.08" personId="{E0378493-E92D-4ECB-8640-4A54569C383D}" id="{17A45325-F742-49B8-9A78-991F08C39DB8}">
    <text>budget 5%</text>
  </threadedComment>
  <threadedComment ref="E17" dT="2021-10-19T22:00:11.50" personId="{E0378493-E92D-4ECB-8640-4A54569C383D}" id="{6839057F-4593-4086-A53E-942626112575}">
    <text>Estimate</text>
  </threadedComment>
  <threadedComment ref="E22" dT="2021-10-17T21:17:46.39" personId="{E0378493-E92D-4ECB-8640-4A54569C383D}" id="{07C1F73D-992D-423B-9D10-E3A74FB6044C}">
    <text>Capital Works Tab</text>
  </threadedComment>
  <threadedComment ref="E26" dT="2021-11-07T18:32:01.86" personId="{E0378493-E92D-4ECB-8640-4A54569C383D}" id="{1B0D24A2-2DC7-4FDE-BE0B-AC09B5B5C888}">
    <text>New rent from September 2022 - Rate Unknown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E2" dT="2021-10-17T19:21:04.76" personId="{E0378493-E92D-4ECB-8640-4A54569C383D}" id="{57293827-010C-454A-8CEA-AD93624F4CB8}">
    <text>Assumption 6.6% Handman wage increase , Clerk to SP 17 (+5% from 2020)</text>
  </threadedComment>
  <threadedComment ref="E12" dT="2021-10-17T19:51:35.92" personId="{E0378493-E92D-4ECB-8640-4A54569C383D}" id="{4C058F96-6E0F-48CA-88D7-22580F6EC8FA}">
    <text>4.45% Increase</text>
  </threadedComment>
  <threadedComment ref="E13" dT="2021-10-17T19:53:57.08" personId="{E0378493-E92D-4ECB-8640-4A54569C383D}" id="{CF3F9701-13A4-45DD-912D-8E2EA6E43FF9}">
    <text>budget 5%</text>
  </threadedComment>
  <threadedComment ref="E17" dT="2021-10-19T22:00:11.50" personId="{E0378493-E92D-4ECB-8640-4A54569C383D}" id="{F3576FF1-AB18-4C77-BD17-8F6429E222BF}">
    <text>Estimate</text>
  </threadedComment>
  <threadedComment ref="E22" dT="2021-10-17T21:17:46.39" personId="{E0378493-E92D-4ECB-8640-4A54569C383D}" id="{533CC7DE-2AAF-4227-9F2C-F4068CF64B40}">
    <text>Capital Works Tab</text>
  </threadedComment>
  <threadedComment ref="E26" dT="2021-11-07T18:32:01.86" personId="{E0378493-E92D-4ECB-8640-4A54569C383D}" id="{EC37258F-76BD-4394-9046-9BBB4A2012A9}">
    <text>New rent from September 2022 - Rate Unknown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CA66E-DEA2-41FD-AB1D-C9C807735794}">
  <sheetPr>
    <tabColor rgb="FFFF0000"/>
  </sheetPr>
  <dimension ref="A1:L17"/>
  <sheetViews>
    <sheetView tabSelected="1" workbookViewId="0">
      <selection activeCell="J21" sqref="J21"/>
    </sheetView>
  </sheetViews>
  <sheetFormatPr defaultRowHeight="14.4"/>
  <cols>
    <col min="1" max="1" width="22.6640625" customWidth="1"/>
    <col min="2" max="2" width="13.109375" customWidth="1"/>
    <col min="3" max="4" width="10" bestFit="1" customWidth="1"/>
    <col min="5" max="5" width="17" style="98" bestFit="1" customWidth="1"/>
    <col min="6" max="6" width="16.33203125" customWidth="1"/>
    <col min="7" max="7" width="13.44140625" style="1" bestFit="1" customWidth="1"/>
    <col min="8" max="8" width="16.109375" style="144" bestFit="1" customWidth="1"/>
    <col min="10" max="10" width="59.21875" customWidth="1"/>
    <col min="11" max="11" width="8.88671875" hidden="1" customWidth="1"/>
  </cols>
  <sheetData>
    <row r="1" spans="1:12">
      <c r="A1" s="60" t="s">
        <v>162</v>
      </c>
    </row>
    <row r="2" spans="1:12" s="112" customFormat="1" ht="29.4" thickBot="1">
      <c r="A2" s="113"/>
      <c r="B2" s="146" t="s">
        <v>7</v>
      </c>
      <c r="C2" s="146" t="s">
        <v>0</v>
      </c>
      <c r="D2" s="113" t="s">
        <v>136</v>
      </c>
      <c r="E2" s="114" t="s">
        <v>174</v>
      </c>
      <c r="F2" s="115" t="s">
        <v>172</v>
      </c>
      <c r="G2" s="113" t="s">
        <v>173</v>
      </c>
      <c r="H2" s="114" t="s">
        <v>175</v>
      </c>
    </row>
    <row r="3" spans="1:12">
      <c r="A3" s="116" t="s">
        <v>156</v>
      </c>
      <c r="B3" s="117">
        <f>SUM('Budget Minimum'!E31)</f>
        <v>60828.292000000001</v>
      </c>
      <c r="C3" s="117">
        <f>SUM('Budget Minimum'!K14)</f>
        <v>56993.491999999998</v>
      </c>
      <c r="D3" s="117">
        <f>C3-'Previous Budgets'!D8</f>
        <v>3852.4919999999984</v>
      </c>
      <c r="E3" s="114">
        <f>D3/B15</f>
        <v>7.2495662482828668E-2</v>
      </c>
      <c r="F3" s="117">
        <f>SUM('Budget Minimum'!L24)</f>
        <v>3.3496982735947327</v>
      </c>
      <c r="G3" s="143">
        <v>56.61</v>
      </c>
      <c r="H3" s="114">
        <f>F3/G3</f>
        <v>5.917149396917034E-2</v>
      </c>
      <c r="J3" s="130" t="s">
        <v>156</v>
      </c>
      <c r="K3" s="157"/>
      <c r="L3" s="156"/>
    </row>
    <row r="4" spans="1:12">
      <c r="A4" s="149"/>
      <c r="B4" s="150"/>
      <c r="C4" s="150"/>
      <c r="D4" s="150"/>
      <c r="E4" s="151"/>
      <c r="F4" s="150"/>
      <c r="G4" s="152"/>
      <c r="H4" s="151"/>
      <c r="J4" s="132" t="s">
        <v>157</v>
      </c>
      <c r="K4" s="158"/>
      <c r="L4" s="156"/>
    </row>
    <row r="5" spans="1:12">
      <c r="A5" s="149"/>
      <c r="B5" s="150"/>
      <c r="C5" s="150"/>
      <c r="D5" s="150"/>
      <c r="E5" s="151"/>
      <c r="F5" s="150"/>
      <c r="G5" s="152"/>
      <c r="H5" s="151"/>
      <c r="J5" s="125" t="s">
        <v>212</v>
      </c>
      <c r="K5" s="159"/>
      <c r="L5" s="156"/>
    </row>
    <row r="6" spans="1:12" ht="15" thickBot="1">
      <c r="A6" s="149"/>
      <c r="B6" s="150"/>
      <c r="C6" s="150"/>
      <c r="D6" s="150"/>
      <c r="E6" s="151"/>
      <c r="F6" s="150"/>
      <c r="G6" s="152"/>
      <c r="H6" s="151"/>
      <c r="J6" s="135" t="s">
        <v>158</v>
      </c>
      <c r="K6" s="160"/>
      <c r="L6" s="156"/>
    </row>
    <row r="7" spans="1:12" ht="15" thickBot="1">
      <c r="A7" s="149"/>
      <c r="B7" s="150"/>
      <c r="C7" s="150"/>
      <c r="D7" s="150"/>
      <c r="E7" s="151"/>
      <c r="F7" s="150"/>
      <c r="G7" s="152"/>
      <c r="H7" s="151"/>
    </row>
    <row r="8" spans="1:12">
      <c r="A8" s="116" t="s">
        <v>163</v>
      </c>
      <c r="B8" s="117">
        <f>SUM('Budget Maximum'!E31)</f>
        <v>95455.292000000001</v>
      </c>
      <c r="C8" s="117">
        <f>SUM('Budget Maximum'!K14)</f>
        <v>84647.292000000001</v>
      </c>
      <c r="D8" s="117">
        <f>C8-'Previous Budgets'!D8</f>
        <v>31506.292000000001</v>
      </c>
      <c r="E8" s="114">
        <f>D8/B15</f>
        <v>0.59288105229483834</v>
      </c>
      <c r="F8" s="117">
        <f>SUM('Budget Maximum'!L24)</f>
        <v>32.442730581885897</v>
      </c>
      <c r="G8" s="143">
        <v>56.61</v>
      </c>
      <c r="H8" s="114">
        <f>F8/G8</f>
        <v>0.57309186684129831</v>
      </c>
      <c r="J8" s="108" t="s">
        <v>211</v>
      </c>
    </row>
    <row r="9" spans="1:12">
      <c r="A9" s="149"/>
      <c r="B9" s="150"/>
      <c r="C9" s="150"/>
      <c r="D9" s="150"/>
      <c r="E9" s="151"/>
      <c r="F9" s="150"/>
      <c r="G9" s="152"/>
      <c r="H9" s="151"/>
      <c r="J9" s="107" t="s">
        <v>159</v>
      </c>
    </row>
    <row r="10" spans="1:12">
      <c r="A10" s="149"/>
      <c r="B10" s="150"/>
      <c r="C10" s="150"/>
      <c r="D10" s="150"/>
      <c r="E10" s="151"/>
      <c r="F10" s="150"/>
      <c r="G10" s="152"/>
      <c r="H10" s="151"/>
      <c r="J10" s="107" t="s">
        <v>160</v>
      </c>
    </row>
    <row r="11" spans="1:12" ht="15" thickBot="1">
      <c r="A11" s="149"/>
      <c r="B11" s="150"/>
      <c r="C11" s="150"/>
      <c r="D11" s="150"/>
      <c r="E11" s="151"/>
      <c r="F11" s="150"/>
      <c r="G11" s="152"/>
      <c r="H11" s="151"/>
      <c r="J11" s="110" t="s">
        <v>161</v>
      </c>
    </row>
    <row r="12" spans="1:12" ht="15" thickBot="1">
      <c r="F12" s="1"/>
    </row>
    <row r="13" spans="1:12" ht="15" thickBot="1">
      <c r="A13" s="118" t="s">
        <v>164</v>
      </c>
      <c r="B13" s="121">
        <f>SUM('Recommended Budget'!E31)</f>
        <v>82119.292000000001</v>
      </c>
      <c r="C13" s="145">
        <f>SUM('Recommended Budget'!K14)</f>
        <v>73626.292000000001</v>
      </c>
      <c r="D13" s="121">
        <f>C13-'Previous Budgets'!D8</f>
        <v>20485.292000000001</v>
      </c>
      <c r="E13" s="122">
        <f>D13/B15</f>
        <v>0.3854893961348112</v>
      </c>
      <c r="F13" s="121">
        <f>SUM('Recommended Budget'!L24)</f>
        <v>20.848146507737795</v>
      </c>
      <c r="G13" s="143">
        <v>56.61</v>
      </c>
      <c r="H13" s="114">
        <f>F13/G13</f>
        <v>0.3682767445281363</v>
      </c>
      <c r="J13" s="130" t="s">
        <v>165</v>
      </c>
      <c r="K13" s="153"/>
      <c r="L13" s="156"/>
    </row>
    <row r="14" spans="1:12">
      <c r="J14" s="132" t="s">
        <v>169</v>
      </c>
      <c r="K14" s="154"/>
      <c r="L14" s="156"/>
    </row>
    <row r="15" spans="1:12">
      <c r="A15" t="s">
        <v>170</v>
      </c>
      <c r="B15" s="141">
        <v>53141</v>
      </c>
      <c r="C15" s="13"/>
      <c r="J15" s="134" t="s">
        <v>167</v>
      </c>
      <c r="K15" s="154"/>
      <c r="L15" s="156"/>
    </row>
    <row r="16" spans="1:12">
      <c r="J16" s="132" t="s">
        <v>166</v>
      </c>
      <c r="K16" s="154"/>
      <c r="L16" s="156"/>
    </row>
    <row r="17" spans="10:12" ht="15" thickBot="1">
      <c r="J17" s="135" t="s">
        <v>168</v>
      </c>
      <c r="K17" s="155"/>
      <c r="L17" s="156"/>
    </row>
  </sheetData>
  <mergeCells count="8">
    <mergeCell ref="J16:K16"/>
    <mergeCell ref="J17:K17"/>
    <mergeCell ref="J3:K3"/>
    <mergeCell ref="J4:K4"/>
    <mergeCell ref="J6:K6"/>
    <mergeCell ref="J13:K13"/>
    <mergeCell ref="J14:K14"/>
    <mergeCell ref="J15:K1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C7ED3-CADE-4229-B2DF-D6B57C45F977}">
  <dimension ref="A1:J25"/>
  <sheetViews>
    <sheetView workbookViewId="0">
      <selection activeCell="H24" sqref="H24"/>
    </sheetView>
  </sheetViews>
  <sheetFormatPr defaultRowHeight="14.4"/>
  <cols>
    <col min="1" max="1" width="13.33203125" customWidth="1"/>
    <col min="3" max="3" width="23.21875" bestFit="1" customWidth="1"/>
    <col min="4" max="4" width="10.109375" bestFit="1" customWidth="1"/>
    <col min="6" max="6" width="10.109375" bestFit="1" customWidth="1"/>
    <col min="7" max="7" width="11.5546875" bestFit="1" customWidth="1"/>
    <col min="8" max="8" width="20.109375" bestFit="1" customWidth="1"/>
    <col min="9" max="9" width="11.33203125" bestFit="1" customWidth="1"/>
  </cols>
  <sheetData>
    <row r="1" spans="1:9">
      <c r="A1" s="60" t="s">
        <v>101</v>
      </c>
      <c r="G1" s="13"/>
      <c r="I1" s="88"/>
    </row>
    <row r="2" spans="1:9">
      <c r="G2" s="13"/>
      <c r="I2" s="88"/>
    </row>
    <row r="3" spans="1:9">
      <c r="G3" s="13"/>
      <c r="I3" s="88"/>
    </row>
    <row r="4" spans="1:9">
      <c r="A4" s="60" t="s">
        <v>102</v>
      </c>
      <c r="B4" s="60" t="s">
        <v>103</v>
      </c>
      <c r="C4" s="60" t="s">
        <v>104</v>
      </c>
      <c r="D4" s="5" t="s">
        <v>105</v>
      </c>
      <c r="E4" s="5" t="s">
        <v>106</v>
      </c>
      <c r="F4" s="5" t="s">
        <v>107</v>
      </c>
      <c r="G4" s="89" t="s">
        <v>108</v>
      </c>
      <c r="H4" s="60" t="s">
        <v>109</v>
      </c>
      <c r="I4" s="90" t="s">
        <v>110</v>
      </c>
    </row>
    <row r="5" spans="1:9">
      <c r="A5" t="s">
        <v>111</v>
      </c>
      <c r="B5" t="s">
        <v>76</v>
      </c>
      <c r="C5" t="s">
        <v>112</v>
      </c>
      <c r="D5" s="19">
        <v>2694</v>
      </c>
      <c r="E5" s="1"/>
      <c r="F5" s="1"/>
      <c r="G5" s="19"/>
      <c r="I5" s="88"/>
    </row>
    <row r="6" spans="1:9">
      <c r="A6" t="s">
        <v>113</v>
      </c>
      <c r="B6" t="s">
        <v>72</v>
      </c>
      <c r="C6" t="s">
        <v>114</v>
      </c>
      <c r="D6" s="1"/>
      <c r="E6" s="19">
        <v>918</v>
      </c>
      <c r="F6" s="1"/>
      <c r="G6" s="19"/>
      <c r="I6" s="88"/>
    </row>
    <row r="7" spans="1:9">
      <c r="A7" t="s">
        <v>115</v>
      </c>
      <c r="B7" t="s">
        <v>76</v>
      </c>
      <c r="C7" t="s">
        <v>116</v>
      </c>
      <c r="D7" s="19">
        <v>7194</v>
      </c>
      <c r="E7" s="1"/>
      <c r="F7" s="1"/>
      <c r="G7" s="19"/>
      <c r="I7" s="88"/>
    </row>
    <row r="8" spans="1:9">
      <c r="A8" t="s">
        <v>115</v>
      </c>
      <c r="B8" t="s">
        <v>74</v>
      </c>
      <c r="C8" t="s">
        <v>117</v>
      </c>
      <c r="D8" s="1"/>
      <c r="E8" s="1"/>
      <c r="F8" s="19">
        <v>789</v>
      </c>
      <c r="G8" s="19"/>
      <c r="H8" t="s">
        <v>118</v>
      </c>
      <c r="I8" s="91">
        <v>1000</v>
      </c>
    </row>
    <row r="9" spans="1:9">
      <c r="A9" t="s">
        <v>115</v>
      </c>
      <c r="B9" t="s">
        <v>76</v>
      </c>
      <c r="C9" t="s">
        <v>119</v>
      </c>
      <c r="D9" s="19">
        <f>534+640</f>
        <v>1174</v>
      </c>
      <c r="E9" s="1"/>
      <c r="F9" s="1"/>
      <c r="G9" s="19"/>
      <c r="I9" s="88"/>
    </row>
    <row r="10" spans="1:9">
      <c r="A10" t="s">
        <v>115</v>
      </c>
      <c r="B10" t="s">
        <v>76</v>
      </c>
      <c r="C10" t="s">
        <v>120</v>
      </c>
      <c r="D10" s="19">
        <v>10000</v>
      </c>
      <c r="E10" s="1"/>
      <c r="F10" s="1"/>
      <c r="G10" s="19"/>
      <c r="H10" t="s">
        <v>121</v>
      </c>
      <c r="I10" s="91">
        <v>5000</v>
      </c>
    </row>
    <row r="11" spans="1:9">
      <c r="A11" t="s">
        <v>113</v>
      </c>
      <c r="B11" t="s">
        <v>122</v>
      </c>
      <c r="C11" t="s">
        <v>123</v>
      </c>
      <c r="D11" s="1"/>
      <c r="E11" s="1"/>
      <c r="F11" s="1"/>
      <c r="G11" s="19">
        <v>2160</v>
      </c>
      <c r="I11" s="88"/>
    </row>
    <row r="12" spans="1:9">
      <c r="A12" t="s">
        <v>71</v>
      </c>
      <c r="B12" t="s">
        <v>74</v>
      </c>
      <c r="C12" t="s">
        <v>124</v>
      </c>
      <c r="D12" s="1"/>
      <c r="E12" s="1"/>
      <c r="F12" s="19">
        <f>2412+840</f>
        <v>3252</v>
      </c>
      <c r="G12" s="19"/>
      <c r="I12" s="88"/>
    </row>
    <row r="13" spans="1:9">
      <c r="A13" t="s">
        <v>71</v>
      </c>
      <c r="B13" t="s">
        <v>74</v>
      </c>
      <c r="C13" t="s">
        <v>125</v>
      </c>
      <c r="D13" s="1"/>
      <c r="E13" s="1"/>
      <c r="F13" s="19">
        <v>1800</v>
      </c>
      <c r="G13" s="19"/>
      <c r="I13" s="88"/>
    </row>
    <row r="14" spans="1:9">
      <c r="A14" t="s">
        <v>71</v>
      </c>
      <c r="B14" t="s">
        <v>72</v>
      </c>
      <c r="C14" t="s">
        <v>133</v>
      </c>
      <c r="D14" s="1"/>
      <c r="E14" s="19">
        <v>3000</v>
      </c>
      <c r="F14" s="1"/>
      <c r="G14" s="19"/>
      <c r="I14" s="88"/>
    </row>
    <row r="15" spans="1:9">
      <c r="A15" t="s">
        <v>71</v>
      </c>
      <c r="B15" t="s">
        <v>74</v>
      </c>
      <c r="C15" t="s">
        <v>126</v>
      </c>
      <c r="D15" s="1"/>
      <c r="E15" s="1"/>
      <c r="F15" s="19">
        <v>15740</v>
      </c>
      <c r="G15" s="19"/>
      <c r="I15" s="88"/>
    </row>
    <row r="16" spans="1:9">
      <c r="A16" t="s">
        <v>71</v>
      </c>
      <c r="B16" t="s">
        <v>76</v>
      </c>
      <c r="C16" t="s">
        <v>127</v>
      </c>
      <c r="D16" s="19">
        <f>4150+320+3000</f>
        <v>7470</v>
      </c>
      <c r="E16" s="1"/>
      <c r="F16" s="1"/>
      <c r="G16" s="19"/>
      <c r="I16" s="88"/>
    </row>
    <row r="17" spans="1:10">
      <c r="A17" t="s">
        <v>71</v>
      </c>
      <c r="B17" t="s">
        <v>76</v>
      </c>
      <c r="C17" t="s">
        <v>128</v>
      </c>
      <c r="D17" s="19">
        <v>1273</v>
      </c>
      <c r="E17" s="1"/>
      <c r="F17" s="1"/>
      <c r="G17" s="19"/>
      <c r="H17" t="s">
        <v>134</v>
      </c>
      <c r="I17" s="91">
        <v>1273</v>
      </c>
    </row>
    <row r="18" spans="1:10">
      <c r="A18" t="s">
        <v>113</v>
      </c>
      <c r="B18" t="s">
        <v>76</v>
      </c>
      <c r="C18" t="s">
        <v>129</v>
      </c>
      <c r="D18" s="19">
        <v>2000</v>
      </c>
      <c r="E18" s="1"/>
      <c r="F18" s="1"/>
      <c r="G18" s="19"/>
      <c r="I18" s="88"/>
    </row>
    <row r="19" spans="1:10">
      <c r="D19" s="1"/>
      <c r="E19" s="1"/>
      <c r="F19" s="1"/>
      <c r="G19" s="19"/>
      <c r="I19" s="88"/>
    </row>
    <row r="20" spans="1:10">
      <c r="A20" s="60"/>
      <c r="B20" s="60"/>
      <c r="C20" s="92">
        <f>SUM(D20:G20)</f>
        <v>59464</v>
      </c>
      <c r="D20" s="89">
        <f>SUM(D5:D18)</f>
        <v>31805</v>
      </c>
      <c r="E20" s="89">
        <f t="shared" ref="E20:G20" si="0">SUM(E5:E18)</f>
        <v>3918</v>
      </c>
      <c r="F20" s="89">
        <f t="shared" si="0"/>
        <v>21581</v>
      </c>
      <c r="G20" s="89">
        <f t="shared" si="0"/>
        <v>2160</v>
      </c>
      <c r="H20" s="60"/>
      <c r="I20" s="93"/>
      <c r="J20" s="60"/>
    </row>
    <row r="21" spans="1:10">
      <c r="G21" s="13"/>
      <c r="I21" s="88"/>
    </row>
    <row r="22" spans="1:10">
      <c r="C22" t="s">
        <v>130</v>
      </c>
      <c r="G22" s="13"/>
      <c r="I22" s="88"/>
    </row>
    <row r="23" spans="1:10">
      <c r="C23" t="s">
        <v>131</v>
      </c>
      <c r="G23" s="13"/>
      <c r="I23" s="88"/>
    </row>
    <row r="24" spans="1:10">
      <c r="C24" t="s">
        <v>132</v>
      </c>
      <c r="G24" s="13"/>
      <c r="I24" s="88"/>
    </row>
    <row r="25" spans="1:10">
      <c r="G25" s="13"/>
      <c r="I25" s="8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77977-FED1-4938-BF22-A14FA81C6E99}">
  <dimension ref="A2:F22"/>
  <sheetViews>
    <sheetView workbookViewId="0">
      <selection activeCell="C12" sqref="C12:E14"/>
    </sheetView>
  </sheetViews>
  <sheetFormatPr defaultRowHeight="14.4"/>
  <cols>
    <col min="1" max="1" width="11.6640625" bestFit="1" customWidth="1"/>
    <col min="3" max="3" width="13.109375" style="1" customWidth="1"/>
    <col min="4" max="4" width="8.88671875" style="2"/>
    <col min="5" max="5" width="18" style="4" bestFit="1" customWidth="1"/>
    <col min="6" max="6" width="10.77734375" bestFit="1" customWidth="1"/>
  </cols>
  <sheetData>
    <row r="2" spans="1:6">
      <c r="C2" s="5" t="s">
        <v>0</v>
      </c>
      <c r="D2" s="6" t="s">
        <v>7</v>
      </c>
      <c r="E2" s="7" t="s">
        <v>9</v>
      </c>
    </row>
    <row r="3" spans="1:6">
      <c r="A3" t="s">
        <v>1</v>
      </c>
      <c r="C3" s="2">
        <v>37513</v>
      </c>
      <c r="D3" s="2">
        <v>43443</v>
      </c>
    </row>
    <row r="4" spans="1:6">
      <c r="A4" t="s">
        <v>2</v>
      </c>
      <c r="C4" s="2">
        <v>44000</v>
      </c>
      <c r="D4" s="2">
        <v>52841</v>
      </c>
    </row>
    <row r="5" spans="1:6">
      <c r="A5" t="s">
        <v>3</v>
      </c>
      <c r="C5" s="2">
        <v>44880</v>
      </c>
      <c r="D5" s="2">
        <v>54820</v>
      </c>
    </row>
    <row r="6" spans="1:6">
      <c r="A6" t="s">
        <v>4</v>
      </c>
      <c r="C6" s="2">
        <v>46000</v>
      </c>
      <c r="D6" s="2">
        <v>46000</v>
      </c>
      <c r="E6" s="4">
        <v>233.59</v>
      </c>
      <c r="F6" t="s">
        <v>8</v>
      </c>
    </row>
    <row r="7" spans="1:6">
      <c r="A7" t="s">
        <v>5</v>
      </c>
      <c r="C7" s="2">
        <v>49848</v>
      </c>
      <c r="D7" s="2">
        <v>49898</v>
      </c>
      <c r="E7" s="4">
        <v>3029</v>
      </c>
      <c r="F7" t="s">
        <v>8</v>
      </c>
    </row>
    <row r="8" spans="1:6">
      <c r="A8" t="s">
        <v>6</v>
      </c>
      <c r="C8" s="2">
        <v>53141</v>
      </c>
      <c r="D8" s="2">
        <v>53141</v>
      </c>
      <c r="E8" s="4">
        <v>1527</v>
      </c>
      <c r="F8" t="s">
        <v>8</v>
      </c>
    </row>
    <row r="9" spans="1:6">
      <c r="A9" t="s">
        <v>141</v>
      </c>
      <c r="C9" s="2"/>
      <c r="D9" s="103">
        <f>SUM('Recommended Budget'!K14)</f>
        <v>73626.292000000001</v>
      </c>
    </row>
    <row r="10" spans="1:6">
      <c r="C10" s="2"/>
    </row>
    <row r="11" spans="1:6">
      <c r="C11" s="2"/>
    </row>
    <row r="12" spans="1:6">
      <c r="C12" s="2"/>
    </row>
    <row r="13" spans="1:6">
      <c r="C13" s="2"/>
    </row>
    <row r="14" spans="1:6">
      <c r="C14" s="2"/>
    </row>
    <row r="15" spans="1:6">
      <c r="C15" s="2"/>
    </row>
    <row r="16" spans="1:6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54B9A-E45B-487A-90A0-EB9E61F241A8}">
  <dimension ref="A1:M32"/>
  <sheetViews>
    <sheetView topLeftCell="B13" workbookViewId="0">
      <selection activeCell="M24" sqref="M24"/>
    </sheetView>
  </sheetViews>
  <sheetFormatPr defaultRowHeight="14.4"/>
  <cols>
    <col min="1" max="1" width="17.33203125" customWidth="1"/>
    <col min="2" max="2" width="30.77734375" style="61" customWidth="1"/>
    <col min="3" max="3" width="9.88671875" style="1" bestFit="1" customWidth="1"/>
    <col min="4" max="4" width="16" bestFit="1" customWidth="1"/>
    <col min="5" max="5" width="16.6640625" style="13" bestFit="1" customWidth="1"/>
    <col min="6" max="6" width="8.88671875" style="19"/>
    <col min="10" max="10" width="55.21875" customWidth="1"/>
    <col min="11" max="11" width="10.33203125" customWidth="1"/>
  </cols>
  <sheetData>
    <row r="1" spans="1:12" ht="15" thickBot="1">
      <c r="C1" s="76" t="s">
        <v>7</v>
      </c>
      <c r="D1" s="71" t="s">
        <v>65</v>
      </c>
      <c r="E1" s="64" t="s">
        <v>35</v>
      </c>
      <c r="I1" s="87" t="s">
        <v>93</v>
      </c>
      <c r="J1" s="83">
        <f>SUM(K2:K4)</f>
        <v>4234.8</v>
      </c>
    </row>
    <row r="2" spans="1:12" ht="15" thickBot="1">
      <c r="A2" s="126" t="s">
        <v>10</v>
      </c>
      <c r="B2" s="67" t="s">
        <v>14</v>
      </c>
      <c r="C2" s="77">
        <v>13610</v>
      </c>
      <c r="D2" s="72">
        <v>15233</v>
      </c>
      <c r="E2" s="63">
        <f>5964+660+8387+437</f>
        <v>15448</v>
      </c>
      <c r="F2" s="19" t="s">
        <v>97</v>
      </c>
      <c r="J2" t="s">
        <v>94</v>
      </c>
      <c r="K2" s="3">
        <v>773</v>
      </c>
    </row>
    <row r="3" spans="1:12" ht="15" thickBot="1">
      <c r="A3" s="127"/>
      <c r="B3" s="68" t="s">
        <v>15</v>
      </c>
      <c r="C3" s="78">
        <v>5040</v>
      </c>
      <c r="D3" s="72">
        <v>4160</v>
      </c>
      <c r="E3" s="63">
        <v>4400</v>
      </c>
      <c r="F3" s="19" t="s">
        <v>97</v>
      </c>
      <c r="J3" t="s">
        <v>95</v>
      </c>
      <c r="K3" s="3">
        <f>F31</f>
        <v>3461.8</v>
      </c>
    </row>
    <row r="4" spans="1:12" ht="15" thickBot="1">
      <c r="A4" s="127"/>
      <c r="B4" s="68" t="s">
        <v>16</v>
      </c>
      <c r="C4" s="78">
        <v>6660</v>
      </c>
      <c r="D4" s="72">
        <v>6495</v>
      </c>
      <c r="E4" s="63">
        <v>6800</v>
      </c>
      <c r="F4" s="19" t="s">
        <v>97</v>
      </c>
      <c r="J4" t="s">
        <v>96</v>
      </c>
      <c r="K4" s="3">
        <v>0</v>
      </c>
    </row>
    <row r="5" spans="1:12">
      <c r="A5" s="8"/>
      <c r="B5" s="69"/>
      <c r="C5" s="79"/>
      <c r="D5" s="73"/>
      <c r="E5" s="65"/>
      <c r="K5" s="3"/>
    </row>
    <row r="6" spans="1:12" ht="15" thickBot="1">
      <c r="A6" s="59"/>
      <c r="B6" s="67" t="s">
        <v>17</v>
      </c>
      <c r="C6" s="78">
        <v>300</v>
      </c>
      <c r="D6" s="72">
        <v>480</v>
      </c>
      <c r="E6" s="63">
        <v>400</v>
      </c>
      <c r="F6" s="19">
        <f>E6*0.2</f>
        <v>80</v>
      </c>
      <c r="K6" s="3"/>
    </row>
    <row r="7" spans="1:12" ht="15" thickBot="1">
      <c r="A7" s="128" t="s">
        <v>11</v>
      </c>
      <c r="B7" s="67" t="s">
        <v>18</v>
      </c>
      <c r="C7" s="78">
        <v>250</v>
      </c>
      <c r="D7" s="72">
        <v>0</v>
      </c>
      <c r="E7" s="63">
        <v>65</v>
      </c>
      <c r="J7" s="85" t="s">
        <v>98</v>
      </c>
      <c r="K7" s="86">
        <f>SUM(F22)</f>
        <v>4258.2</v>
      </c>
    </row>
    <row r="8" spans="1:12" ht="26.4">
      <c r="A8" s="129"/>
      <c r="B8" s="67" t="s">
        <v>19</v>
      </c>
      <c r="C8" s="78">
        <v>300</v>
      </c>
      <c r="D8" s="72">
        <v>250</v>
      </c>
      <c r="E8" s="63">
        <v>500</v>
      </c>
      <c r="F8" s="19">
        <f>E8*0.2</f>
        <v>100</v>
      </c>
    </row>
    <row r="9" spans="1:12">
      <c r="A9" s="129"/>
      <c r="B9" s="67" t="s">
        <v>20</v>
      </c>
      <c r="C9" s="78">
        <v>300</v>
      </c>
      <c r="D9" s="72">
        <v>439</v>
      </c>
      <c r="E9" s="63">
        <v>450</v>
      </c>
      <c r="F9" s="19" t="s">
        <v>97</v>
      </c>
    </row>
    <row r="10" spans="1:12">
      <c r="A10" s="129"/>
      <c r="B10" s="67" t="s">
        <v>21</v>
      </c>
      <c r="C10" s="78">
        <v>72</v>
      </c>
      <c r="D10" s="72">
        <v>72</v>
      </c>
      <c r="E10" s="63">
        <v>72</v>
      </c>
      <c r="F10" s="19" t="s">
        <v>97</v>
      </c>
    </row>
    <row r="11" spans="1:12">
      <c r="A11" s="129"/>
      <c r="B11" s="67" t="s">
        <v>22</v>
      </c>
      <c r="C11" s="78">
        <v>1290</v>
      </c>
      <c r="D11" s="72">
        <v>1290</v>
      </c>
      <c r="E11" s="63">
        <f>1290+(1290*0.03)</f>
        <v>1328.7</v>
      </c>
      <c r="F11" s="19" t="s">
        <v>97</v>
      </c>
      <c r="J11" t="s">
        <v>7</v>
      </c>
      <c r="K11" s="13">
        <f>SUM(E31)</f>
        <v>82119.292000000001</v>
      </c>
    </row>
    <row r="12" spans="1:12">
      <c r="A12" s="129"/>
      <c r="B12" s="67" t="s">
        <v>23</v>
      </c>
      <c r="C12" s="78">
        <v>3856</v>
      </c>
      <c r="D12" s="72">
        <v>3894</v>
      </c>
      <c r="E12" s="63">
        <f>3856*0.0445+3856</f>
        <v>4027.5920000000001</v>
      </c>
      <c r="F12" s="19" t="s">
        <v>97</v>
      </c>
      <c r="J12" t="s">
        <v>138</v>
      </c>
      <c r="K12" s="3">
        <f>J1</f>
        <v>4234.8</v>
      </c>
    </row>
    <row r="13" spans="1:12" ht="15" thickBot="1">
      <c r="A13" s="129"/>
      <c r="B13" s="67" t="s">
        <v>24</v>
      </c>
      <c r="C13" s="78">
        <v>1600</v>
      </c>
      <c r="D13" s="72">
        <v>1235</v>
      </c>
      <c r="E13" s="63">
        <v>1300</v>
      </c>
      <c r="F13" s="19" t="s">
        <v>97</v>
      </c>
      <c r="J13" t="s">
        <v>139</v>
      </c>
      <c r="K13" s="3">
        <f>K7</f>
        <v>4258.2</v>
      </c>
    </row>
    <row r="14" spans="1:12" ht="27" thickBot="1">
      <c r="A14" s="129"/>
      <c r="B14" s="67" t="s">
        <v>25</v>
      </c>
      <c r="C14" s="78">
        <v>700</v>
      </c>
      <c r="D14" s="72">
        <v>541.73</v>
      </c>
      <c r="E14" s="63">
        <v>569</v>
      </c>
      <c r="F14" s="19">
        <f>E14*0.2</f>
        <v>113.80000000000001</v>
      </c>
      <c r="J14" t="s">
        <v>140</v>
      </c>
      <c r="K14" s="101">
        <f>K11-K12-K13</f>
        <v>73626.292000000001</v>
      </c>
    </row>
    <row r="15" spans="1:12">
      <c r="A15" s="129"/>
      <c r="B15" s="67" t="s">
        <v>26</v>
      </c>
      <c r="C15" s="78">
        <v>540</v>
      </c>
      <c r="D15" s="72">
        <v>560</v>
      </c>
      <c r="E15" s="63">
        <v>588</v>
      </c>
      <c r="F15" s="19">
        <f>340*0.2</f>
        <v>68</v>
      </c>
      <c r="L15" s="13"/>
    </row>
    <row r="16" spans="1:12">
      <c r="A16" s="9"/>
      <c r="B16" s="69"/>
      <c r="C16" s="79"/>
      <c r="D16" s="73"/>
      <c r="E16" s="65"/>
      <c r="J16" t="s">
        <v>152</v>
      </c>
      <c r="K16" s="104">
        <f>C31</f>
        <v>53141</v>
      </c>
    </row>
    <row r="17" spans="1:13">
      <c r="A17" s="99"/>
      <c r="B17" s="94" t="s">
        <v>135</v>
      </c>
      <c r="C17" s="95"/>
      <c r="D17" s="96"/>
      <c r="E17" s="97">
        <v>6000</v>
      </c>
      <c r="F17" s="19">
        <f>E17*0.2</f>
        <v>1200</v>
      </c>
    </row>
    <row r="18" spans="1:13">
      <c r="A18" s="137" t="s">
        <v>12</v>
      </c>
      <c r="B18" s="67" t="s">
        <v>27</v>
      </c>
      <c r="C18" s="78">
        <v>1000</v>
      </c>
      <c r="D18" s="72">
        <v>1500</v>
      </c>
      <c r="E18" s="63">
        <v>1000</v>
      </c>
      <c r="F18" s="19">
        <f>E18*0.2</f>
        <v>200</v>
      </c>
      <c r="J18" t="s">
        <v>136</v>
      </c>
      <c r="K18" s="13">
        <f>K14-K16</f>
        <v>20485.292000000001</v>
      </c>
    </row>
    <row r="19" spans="1:13">
      <c r="A19" s="137"/>
      <c r="B19" s="67" t="s">
        <v>142</v>
      </c>
      <c r="C19" s="78"/>
      <c r="D19" s="72"/>
      <c r="E19" s="63">
        <v>5000</v>
      </c>
      <c r="F19" s="19" t="s">
        <v>97</v>
      </c>
    </row>
    <row r="20" spans="1:13">
      <c r="A20" s="137"/>
      <c r="B20" s="67" t="s">
        <v>28</v>
      </c>
      <c r="C20" s="78">
        <v>3000</v>
      </c>
      <c r="D20" s="72">
        <f>2720+580</f>
        <v>3300</v>
      </c>
      <c r="E20" s="63">
        <v>1000</v>
      </c>
      <c r="F20" s="19">
        <f t="shared" ref="F20:F21" si="0">E20*0.2</f>
        <v>200</v>
      </c>
      <c r="J20" s="105" t="s">
        <v>153</v>
      </c>
      <c r="K20" s="123">
        <f>K18/K16</f>
        <v>0.3854893961348112</v>
      </c>
    </row>
    <row r="21" spans="1:13">
      <c r="A21" s="137"/>
      <c r="B21" s="67" t="s">
        <v>29</v>
      </c>
      <c r="C21" s="78">
        <v>6363</v>
      </c>
      <c r="D21" s="72">
        <v>7420.5</v>
      </c>
      <c r="E21" s="63">
        <v>7500</v>
      </c>
      <c r="F21" s="19">
        <f t="shared" si="0"/>
        <v>1500</v>
      </c>
    </row>
    <row r="22" spans="1:13">
      <c r="A22" s="137"/>
      <c r="B22" s="67" t="s">
        <v>30</v>
      </c>
      <c r="C22" s="78">
        <v>4000</v>
      </c>
      <c r="D22" s="72">
        <v>4000</v>
      </c>
      <c r="E22" s="63">
        <v>21291</v>
      </c>
      <c r="F22" s="19">
        <f>E22*0.2</f>
        <v>4258.2</v>
      </c>
    </row>
    <row r="23" spans="1:13">
      <c r="A23" s="138"/>
      <c r="B23" s="67" t="s">
        <v>31</v>
      </c>
      <c r="C23" s="78">
        <v>800</v>
      </c>
      <c r="D23" s="72">
        <v>895</v>
      </c>
      <c r="E23" s="63">
        <v>920</v>
      </c>
      <c r="F23" s="19" t="s">
        <v>97</v>
      </c>
      <c r="J23" t="s">
        <v>171</v>
      </c>
      <c r="K23" s="13">
        <v>56.61</v>
      </c>
      <c r="L23" s="19"/>
    </row>
    <row r="24" spans="1:13" ht="15" thickBot="1">
      <c r="A24" s="10"/>
      <c r="B24" s="69"/>
      <c r="C24" s="79"/>
      <c r="D24" s="73"/>
      <c r="E24" s="65"/>
      <c r="J24" t="s">
        <v>137</v>
      </c>
      <c r="K24" s="13">
        <f>K14/950.53</f>
        <v>77.458146507737794</v>
      </c>
      <c r="L24" s="19">
        <f>K24-K23</f>
        <v>20.848146507737795</v>
      </c>
      <c r="M24" s="98">
        <f>L24/K23</f>
        <v>0.3682767445281363</v>
      </c>
    </row>
    <row r="25" spans="1:13" ht="15" thickBot="1">
      <c r="A25" s="139" t="s">
        <v>13</v>
      </c>
      <c r="B25" s="67" t="s">
        <v>32</v>
      </c>
      <c r="C25" s="78">
        <v>600</v>
      </c>
      <c r="D25" s="72">
        <v>368</v>
      </c>
      <c r="E25" s="63">
        <v>600</v>
      </c>
      <c r="F25" s="19" t="s">
        <v>97</v>
      </c>
      <c r="K25" s="13"/>
      <c r="L25" s="19"/>
    </row>
    <row r="26" spans="1:13">
      <c r="A26" s="140"/>
      <c r="B26" s="67" t="s">
        <v>33</v>
      </c>
      <c r="C26" s="78">
        <v>800</v>
      </c>
      <c r="D26" s="72">
        <v>700</v>
      </c>
      <c r="E26" s="63">
        <v>800</v>
      </c>
      <c r="F26" s="19" t="s">
        <v>97</v>
      </c>
    </row>
    <row r="27" spans="1:13" ht="15" thickBot="1">
      <c r="A27" s="11"/>
      <c r="B27" s="69"/>
      <c r="C27" s="79"/>
      <c r="D27" s="73"/>
      <c r="E27" s="65"/>
    </row>
    <row r="28" spans="1:13">
      <c r="A28" s="12"/>
      <c r="B28" s="70" t="s">
        <v>92</v>
      </c>
      <c r="C28" s="78">
        <v>2000</v>
      </c>
      <c r="D28" s="72">
        <v>1991</v>
      </c>
      <c r="E28" s="63">
        <v>2000</v>
      </c>
      <c r="F28" s="19" t="s">
        <v>97</v>
      </c>
      <c r="J28" s="130" t="s">
        <v>165</v>
      </c>
      <c r="K28" s="131"/>
    </row>
    <row r="29" spans="1:13">
      <c r="A29" s="12"/>
      <c r="B29" s="67" t="s">
        <v>34</v>
      </c>
      <c r="C29" s="80">
        <v>60</v>
      </c>
      <c r="D29" s="74">
        <v>0</v>
      </c>
      <c r="E29" s="63">
        <v>60</v>
      </c>
      <c r="F29" s="19" t="s">
        <v>97</v>
      </c>
      <c r="J29" s="132" t="s">
        <v>169</v>
      </c>
      <c r="K29" s="133"/>
    </row>
    <row r="30" spans="1:13" ht="15" thickBot="1">
      <c r="A30" s="58"/>
      <c r="B30" s="62"/>
      <c r="C30" s="81"/>
      <c r="D30" s="75"/>
      <c r="E30" s="66"/>
      <c r="J30" s="134" t="s">
        <v>167</v>
      </c>
      <c r="K30" s="133"/>
    </row>
    <row r="31" spans="1:13" ht="15" thickBot="1">
      <c r="C31" s="82">
        <f>SUM(C2:C29)</f>
        <v>53141</v>
      </c>
      <c r="D31" s="2">
        <f>SUM(D2:D29)</f>
        <v>54824.23</v>
      </c>
      <c r="E31" s="100">
        <f>SUM(E2:E29)</f>
        <v>82119.292000000001</v>
      </c>
      <c r="F31" s="19">
        <f>F21+F20+F18+F15+F14+F8+F6+F17</f>
        <v>3461.8</v>
      </c>
      <c r="J31" s="132" t="s">
        <v>166</v>
      </c>
      <c r="K31" s="133"/>
    </row>
    <row r="32" spans="1:13" ht="15" thickBot="1">
      <c r="J32" s="135" t="s">
        <v>168</v>
      </c>
      <c r="K32" s="136"/>
    </row>
  </sheetData>
  <mergeCells count="9">
    <mergeCell ref="J31:K31"/>
    <mergeCell ref="J32:K32"/>
    <mergeCell ref="A18:A23"/>
    <mergeCell ref="A25:A26"/>
    <mergeCell ref="A2:A4"/>
    <mergeCell ref="A7:A15"/>
    <mergeCell ref="J28:K28"/>
    <mergeCell ref="J29:K29"/>
    <mergeCell ref="J30:K30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44F99-C162-4AB0-AC3F-C3C4FD416144}">
  <dimension ref="A1:D31"/>
  <sheetViews>
    <sheetView workbookViewId="0">
      <selection activeCell="D9" sqref="D9"/>
    </sheetView>
  </sheetViews>
  <sheetFormatPr defaultRowHeight="14.4"/>
  <cols>
    <col min="1" max="1" width="29.33203125" bestFit="1" customWidth="1"/>
    <col min="3" max="3" width="7.88671875" bestFit="1" customWidth="1"/>
    <col min="4" max="4" width="20.33203125" bestFit="1" customWidth="1"/>
  </cols>
  <sheetData>
    <row r="1" spans="1:4">
      <c r="A1" t="s">
        <v>207</v>
      </c>
    </row>
    <row r="2" spans="1:4">
      <c r="A2" t="s">
        <v>208</v>
      </c>
    </row>
    <row r="3" spans="1:4">
      <c r="A3" t="s">
        <v>176</v>
      </c>
      <c r="B3" s="148" t="s">
        <v>177</v>
      </c>
      <c r="C3" s="148" t="s">
        <v>179</v>
      </c>
      <c r="D3" s="148" t="s">
        <v>210</v>
      </c>
    </row>
    <row r="4" spans="1:4">
      <c r="A4" t="s">
        <v>209</v>
      </c>
      <c r="B4" s="148" t="s">
        <v>178</v>
      </c>
      <c r="C4" s="148" t="s">
        <v>178</v>
      </c>
      <c r="D4" s="112"/>
    </row>
    <row r="5" spans="1:4">
      <c r="A5" t="s">
        <v>206</v>
      </c>
      <c r="B5" s="147">
        <v>434538</v>
      </c>
      <c r="C5" s="147">
        <v>438480</v>
      </c>
      <c r="D5">
        <v>80.64</v>
      </c>
    </row>
    <row r="6" spans="1:4">
      <c r="A6" t="s">
        <v>205</v>
      </c>
      <c r="B6" s="147">
        <v>46055</v>
      </c>
      <c r="C6" s="147">
        <v>46087</v>
      </c>
      <c r="D6">
        <v>52.56</v>
      </c>
    </row>
    <row r="7" spans="1:4">
      <c r="A7" t="s">
        <v>180</v>
      </c>
      <c r="B7" s="147">
        <v>89968</v>
      </c>
      <c r="C7" s="147">
        <v>89945</v>
      </c>
      <c r="D7">
        <v>63.09</v>
      </c>
    </row>
    <row r="8" spans="1:4">
      <c r="A8" t="s">
        <v>181</v>
      </c>
      <c r="B8" s="147">
        <v>139296</v>
      </c>
      <c r="C8" s="147">
        <v>139396</v>
      </c>
      <c r="D8">
        <v>55.08</v>
      </c>
    </row>
    <row r="9" spans="1:4">
      <c r="A9" t="s">
        <v>182</v>
      </c>
      <c r="B9" s="147">
        <v>7608</v>
      </c>
      <c r="C9" s="147">
        <v>7604</v>
      </c>
      <c r="D9">
        <v>24.12</v>
      </c>
    </row>
    <row r="10" spans="1:4">
      <c r="A10" t="s">
        <v>183</v>
      </c>
      <c r="B10" s="147">
        <v>212549</v>
      </c>
      <c r="C10" s="147">
        <v>265615</v>
      </c>
      <c r="D10">
        <v>109.17</v>
      </c>
    </row>
    <row r="11" spans="1:4">
      <c r="A11" t="s">
        <v>184</v>
      </c>
      <c r="B11" s="147">
        <v>106139</v>
      </c>
      <c r="C11" s="147">
        <v>107176</v>
      </c>
      <c r="D11">
        <v>51.12</v>
      </c>
    </row>
    <row r="12" spans="1:4">
      <c r="A12" t="s">
        <v>201</v>
      </c>
      <c r="B12" s="147">
        <v>10702</v>
      </c>
      <c r="C12" s="147">
        <v>10716</v>
      </c>
      <c r="D12">
        <v>61.29</v>
      </c>
    </row>
    <row r="13" spans="1:4">
      <c r="A13" t="s">
        <v>202</v>
      </c>
      <c r="B13" s="147">
        <v>35718</v>
      </c>
      <c r="C13" s="147">
        <v>35910</v>
      </c>
      <c r="D13">
        <v>73.44</v>
      </c>
    </row>
    <row r="14" spans="1:4">
      <c r="A14" t="s">
        <v>203</v>
      </c>
      <c r="B14" s="147">
        <v>86500</v>
      </c>
      <c r="C14" s="147">
        <v>86455</v>
      </c>
      <c r="D14">
        <v>71.819999999999993</v>
      </c>
    </row>
    <row r="15" spans="1:4">
      <c r="A15" t="s">
        <v>204</v>
      </c>
      <c r="B15" s="147">
        <v>26818</v>
      </c>
      <c r="C15" s="147">
        <v>26610</v>
      </c>
      <c r="D15">
        <v>55.89</v>
      </c>
    </row>
    <row r="16" spans="1:4">
      <c r="A16" t="s">
        <v>185</v>
      </c>
      <c r="B16" s="147">
        <v>31858</v>
      </c>
      <c r="C16" s="147">
        <v>31859</v>
      </c>
      <c r="D16">
        <v>98.01</v>
      </c>
    </row>
    <row r="17" spans="1:4">
      <c r="A17" t="s">
        <v>200</v>
      </c>
      <c r="B17" s="147">
        <v>29994</v>
      </c>
      <c r="C17" s="147">
        <v>29983</v>
      </c>
      <c r="D17">
        <v>26.01</v>
      </c>
    </row>
    <row r="18" spans="1:4">
      <c r="A18" t="s">
        <v>186</v>
      </c>
      <c r="B18" s="147">
        <v>12408</v>
      </c>
      <c r="C18" s="147">
        <v>12419</v>
      </c>
      <c r="D18">
        <v>31.68</v>
      </c>
    </row>
    <row r="19" spans="1:4">
      <c r="A19" t="s">
        <v>187</v>
      </c>
      <c r="B19">
        <v>0</v>
      </c>
      <c r="C19">
        <v>0</v>
      </c>
      <c r="D19">
        <v>0</v>
      </c>
    </row>
    <row r="20" spans="1:4">
      <c r="A20" t="s">
        <v>188</v>
      </c>
      <c r="B20" s="147">
        <v>7512</v>
      </c>
      <c r="C20" s="147">
        <v>8435</v>
      </c>
      <c r="D20">
        <v>61.47</v>
      </c>
    </row>
    <row r="21" spans="1:4">
      <c r="A21" t="s">
        <v>189</v>
      </c>
      <c r="B21" s="147">
        <v>41479</v>
      </c>
      <c r="C21" s="147">
        <v>42072</v>
      </c>
      <c r="D21">
        <v>53.82</v>
      </c>
    </row>
    <row r="22" spans="1:4">
      <c r="A22" t="s">
        <v>190</v>
      </c>
      <c r="B22" s="147">
        <v>14985</v>
      </c>
      <c r="C22" s="147">
        <v>14994</v>
      </c>
      <c r="D22">
        <v>31.32</v>
      </c>
    </row>
    <row r="23" spans="1:4">
      <c r="A23" t="s">
        <v>191</v>
      </c>
      <c r="B23" s="147">
        <v>100529</v>
      </c>
      <c r="C23" s="147">
        <v>109471</v>
      </c>
      <c r="D23">
        <v>59.76</v>
      </c>
    </row>
    <row r="24" spans="1:4">
      <c r="A24" t="s">
        <v>192</v>
      </c>
      <c r="B24" s="147">
        <v>33561</v>
      </c>
      <c r="C24" s="147">
        <v>35174</v>
      </c>
      <c r="D24">
        <v>47.7</v>
      </c>
    </row>
    <row r="25" spans="1:4">
      <c r="A25" t="s">
        <v>193</v>
      </c>
      <c r="B25" s="147">
        <v>386893</v>
      </c>
      <c r="C25" s="147">
        <v>410629</v>
      </c>
      <c r="D25">
        <v>51.93</v>
      </c>
    </row>
    <row r="26" spans="1:4">
      <c r="A26" t="s">
        <v>194</v>
      </c>
      <c r="B26" s="147">
        <v>44825</v>
      </c>
      <c r="C26" s="147">
        <v>44738</v>
      </c>
      <c r="D26">
        <v>37.71</v>
      </c>
    </row>
    <row r="27" spans="1:4">
      <c r="A27" t="s">
        <v>196</v>
      </c>
      <c r="B27" s="147">
        <v>49934</v>
      </c>
      <c r="C27" s="147">
        <v>53141</v>
      </c>
      <c r="D27">
        <v>56.61</v>
      </c>
    </row>
    <row r="28" spans="1:4">
      <c r="A28" t="s">
        <v>197</v>
      </c>
      <c r="B28" s="147">
        <v>44101</v>
      </c>
      <c r="C28" s="147">
        <v>44355</v>
      </c>
      <c r="D28">
        <v>54.81</v>
      </c>
    </row>
    <row r="29" spans="1:4">
      <c r="A29" t="s">
        <v>198</v>
      </c>
      <c r="B29" s="147">
        <v>428265</v>
      </c>
      <c r="C29" s="147">
        <v>428346</v>
      </c>
      <c r="D29">
        <v>70.47</v>
      </c>
    </row>
    <row r="30" spans="1:4">
      <c r="A30" t="s">
        <v>199</v>
      </c>
      <c r="B30" s="147">
        <v>77639</v>
      </c>
      <c r="C30" s="147">
        <v>82647</v>
      </c>
      <c r="D30">
        <v>66.87</v>
      </c>
    </row>
    <row r="31" spans="1:4">
      <c r="A31" t="s">
        <v>195</v>
      </c>
      <c r="B31" s="147">
        <v>132105</v>
      </c>
      <c r="C31" s="147">
        <v>135997</v>
      </c>
      <c r="D31">
        <v>67.59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ABBFD-99A0-4B5E-84CA-39BDCF1203F3}">
  <dimension ref="A1:M31"/>
  <sheetViews>
    <sheetView topLeftCell="A13" workbookViewId="0">
      <selection activeCell="M24" sqref="M24"/>
    </sheetView>
  </sheetViews>
  <sheetFormatPr defaultRowHeight="14.4"/>
  <cols>
    <col min="1" max="1" width="17.33203125" customWidth="1"/>
    <col min="2" max="2" width="30.77734375" style="61" customWidth="1"/>
    <col min="3" max="3" width="9.88671875" style="1" bestFit="1" customWidth="1"/>
    <col min="4" max="4" width="16" bestFit="1" customWidth="1"/>
    <col min="5" max="5" width="16.6640625" style="13" bestFit="1" customWidth="1"/>
    <col min="6" max="6" width="8.88671875" style="19"/>
    <col min="10" max="10" width="29.6640625" customWidth="1"/>
    <col min="11" max="11" width="13.5546875" customWidth="1"/>
  </cols>
  <sheetData>
    <row r="1" spans="1:12" ht="15" thickBot="1">
      <c r="C1" s="76" t="s">
        <v>7</v>
      </c>
      <c r="D1" s="71" t="s">
        <v>65</v>
      </c>
      <c r="E1" s="64" t="s">
        <v>35</v>
      </c>
      <c r="I1" s="87" t="s">
        <v>93</v>
      </c>
      <c r="J1" s="83">
        <f>SUM(K2:K4)</f>
        <v>3834.8</v>
      </c>
    </row>
    <row r="2" spans="1:12" ht="15" thickBot="1">
      <c r="A2" s="126" t="s">
        <v>10</v>
      </c>
      <c r="B2" s="67" t="s">
        <v>14</v>
      </c>
      <c r="C2" s="77">
        <v>13610</v>
      </c>
      <c r="D2" s="72">
        <v>15233</v>
      </c>
      <c r="E2" s="63">
        <f>5964+660+8387+437</f>
        <v>15448</v>
      </c>
      <c r="F2" s="19" t="s">
        <v>97</v>
      </c>
      <c r="J2" t="s">
        <v>94</v>
      </c>
      <c r="K2" s="3">
        <v>773</v>
      </c>
    </row>
    <row r="3" spans="1:12" ht="15" thickBot="1">
      <c r="A3" s="127"/>
      <c r="B3" s="68" t="s">
        <v>15</v>
      </c>
      <c r="C3" s="78">
        <v>5040</v>
      </c>
      <c r="D3" s="72">
        <v>4160</v>
      </c>
      <c r="E3" s="63">
        <v>4400</v>
      </c>
      <c r="F3" s="19" t="s">
        <v>97</v>
      </c>
      <c r="J3" t="s">
        <v>95</v>
      </c>
      <c r="K3" s="3">
        <f>F31</f>
        <v>3061.8</v>
      </c>
    </row>
    <row r="4" spans="1:12" ht="15" thickBot="1">
      <c r="A4" s="127"/>
      <c r="B4" s="68" t="s">
        <v>16</v>
      </c>
      <c r="C4" s="78">
        <v>6660</v>
      </c>
      <c r="D4" s="72">
        <v>6495</v>
      </c>
      <c r="E4" s="63">
        <v>6800</v>
      </c>
      <c r="F4" s="19" t="s">
        <v>97</v>
      </c>
      <c r="J4" t="s">
        <v>96</v>
      </c>
      <c r="K4" s="3">
        <v>0</v>
      </c>
    </row>
    <row r="5" spans="1:12">
      <c r="A5" s="8"/>
      <c r="B5" s="69"/>
      <c r="C5" s="79"/>
      <c r="D5" s="73"/>
      <c r="E5" s="65"/>
      <c r="K5" s="3"/>
    </row>
    <row r="6" spans="1:12" ht="15" thickBot="1">
      <c r="A6" s="59"/>
      <c r="B6" s="67" t="s">
        <v>17</v>
      </c>
      <c r="C6" s="78">
        <v>300</v>
      </c>
      <c r="D6" s="72">
        <v>480</v>
      </c>
      <c r="E6" s="63">
        <v>400</v>
      </c>
      <c r="F6" s="19">
        <f>E6*0.2</f>
        <v>80</v>
      </c>
      <c r="K6" s="3"/>
    </row>
    <row r="7" spans="1:12" ht="15" thickBot="1">
      <c r="A7" s="128" t="s">
        <v>11</v>
      </c>
      <c r="B7" s="67" t="s">
        <v>18</v>
      </c>
      <c r="C7" s="78">
        <v>250</v>
      </c>
      <c r="D7" s="72">
        <v>0</v>
      </c>
      <c r="E7" s="63">
        <v>65</v>
      </c>
      <c r="J7" s="85" t="s">
        <v>98</v>
      </c>
      <c r="K7" s="86">
        <f>SUM(F22)</f>
        <v>0</v>
      </c>
    </row>
    <row r="8" spans="1:12" ht="26.4">
      <c r="A8" s="129"/>
      <c r="B8" s="67" t="s">
        <v>19</v>
      </c>
      <c r="C8" s="78">
        <v>300</v>
      </c>
      <c r="D8" s="72">
        <v>250</v>
      </c>
      <c r="E8" s="63">
        <v>500</v>
      </c>
      <c r="F8" s="19">
        <f>E8*0.2</f>
        <v>100</v>
      </c>
    </row>
    <row r="9" spans="1:12">
      <c r="A9" s="129"/>
      <c r="B9" s="67" t="s">
        <v>20</v>
      </c>
      <c r="C9" s="78">
        <v>300</v>
      </c>
      <c r="D9" s="72">
        <v>439</v>
      </c>
      <c r="E9" s="63">
        <v>450</v>
      </c>
      <c r="F9" s="19" t="s">
        <v>97</v>
      </c>
    </row>
    <row r="10" spans="1:12">
      <c r="A10" s="129"/>
      <c r="B10" s="67" t="s">
        <v>21</v>
      </c>
      <c r="C10" s="78">
        <v>72</v>
      </c>
      <c r="D10" s="72">
        <v>72</v>
      </c>
      <c r="E10" s="63">
        <v>72</v>
      </c>
      <c r="F10" s="19" t="s">
        <v>97</v>
      </c>
    </row>
    <row r="11" spans="1:12">
      <c r="A11" s="129"/>
      <c r="B11" s="67" t="s">
        <v>22</v>
      </c>
      <c r="C11" s="78">
        <v>1290</v>
      </c>
      <c r="D11" s="72">
        <v>1290</v>
      </c>
      <c r="E11" s="63">
        <f>1290+(1290*0.03)</f>
        <v>1328.7</v>
      </c>
      <c r="F11" s="19" t="s">
        <v>97</v>
      </c>
      <c r="J11" t="s">
        <v>7</v>
      </c>
      <c r="K11" s="13">
        <f>SUM(E31)</f>
        <v>60828.292000000001</v>
      </c>
    </row>
    <row r="12" spans="1:12">
      <c r="A12" s="129"/>
      <c r="B12" s="67" t="s">
        <v>23</v>
      </c>
      <c r="C12" s="78">
        <v>3856</v>
      </c>
      <c r="D12" s="72">
        <v>3894</v>
      </c>
      <c r="E12" s="63">
        <f>3856*0.0445+3856</f>
        <v>4027.5920000000001</v>
      </c>
      <c r="F12" s="19" t="s">
        <v>97</v>
      </c>
      <c r="J12" t="s">
        <v>138</v>
      </c>
      <c r="K12" s="3">
        <f>J1</f>
        <v>3834.8</v>
      </c>
    </row>
    <row r="13" spans="1:12" ht="15" thickBot="1">
      <c r="A13" s="129"/>
      <c r="B13" s="67" t="s">
        <v>24</v>
      </c>
      <c r="C13" s="78">
        <v>1600</v>
      </c>
      <c r="D13" s="72">
        <v>1235</v>
      </c>
      <c r="E13" s="63">
        <v>1300</v>
      </c>
      <c r="F13" s="19" t="s">
        <v>97</v>
      </c>
      <c r="J13" t="s">
        <v>139</v>
      </c>
      <c r="K13" s="3">
        <f>K7</f>
        <v>0</v>
      </c>
    </row>
    <row r="14" spans="1:12" ht="27" thickBot="1">
      <c r="A14" s="129"/>
      <c r="B14" s="67" t="s">
        <v>25</v>
      </c>
      <c r="C14" s="78">
        <v>700</v>
      </c>
      <c r="D14" s="72">
        <v>541.73</v>
      </c>
      <c r="E14" s="63">
        <v>569</v>
      </c>
      <c r="F14" s="19">
        <f>E14*0.2</f>
        <v>113.80000000000001</v>
      </c>
      <c r="J14" t="s">
        <v>140</v>
      </c>
      <c r="K14" s="101">
        <f>K11-K12-K13</f>
        <v>56993.491999999998</v>
      </c>
    </row>
    <row r="15" spans="1:12">
      <c r="A15" s="129"/>
      <c r="B15" s="67" t="s">
        <v>26</v>
      </c>
      <c r="C15" s="78">
        <v>540</v>
      </c>
      <c r="D15" s="72">
        <v>560</v>
      </c>
      <c r="E15" s="63">
        <v>588</v>
      </c>
      <c r="F15" s="19">
        <f>340*0.2</f>
        <v>68</v>
      </c>
      <c r="L15" s="13"/>
    </row>
    <row r="16" spans="1:12">
      <c r="A16" s="9"/>
      <c r="B16" s="69"/>
      <c r="C16" s="79"/>
      <c r="D16" s="73"/>
      <c r="E16" s="65"/>
      <c r="J16" t="s">
        <v>152</v>
      </c>
      <c r="K16" s="104">
        <f>C31</f>
        <v>53141</v>
      </c>
    </row>
    <row r="17" spans="1:13">
      <c r="A17" s="99"/>
      <c r="B17" s="94" t="s">
        <v>135</v>
      </c>
      <c r="C17" s="95"/>
      <c r="D17" s="96"/>
      <c r="E17" s="106">
        <v>5000</v>
      </c>
      <c r="F17" s="19">
        <f>E17*0.2</f>
        <v>1000</v>
      </c>
    </row>
    <row r="18" spans="1:13">
      <c r="A18" s="137" t="s">
        <v>12</v>
      </c>
      <c r="B18" s="67" t="s">
        <v>27</v>
      </c>
      <c r="C18" s="78">
        <v>1000</v>
      </c>
      <c r="D18" s="72">
        <v>1500</v>
      </c>
      <c r="E18" s="63">
        <v>1000</v>
      </c>
      <c r="F18" s="19">
        <f>E18*0.2</f>
        <v>200</v>
      </c>
      <c r="J18" t="s">
        <v>136</v>
      </c>
      <c r="K18" s="13">
        <f>K14-K16</f>
        <v>3852.4919999999984</v>
      </c>
    </row>
    <row r="19" spans="1:13" ht="15" thickBot="1">
      <c r="A19" s="137"/>
      <c r="B19" s="67" t="s">
        <v>142</v>
      </c>
      <c r="C19" s="78"/>
      <c r="D19" s="72"/>
      <c r="E19" s="106">
        <v>7000</v>
      </c>
      <c r="F19" s="19" t="s">
        <v>97</v>
      </c>
    </row>
    <row r="20" spans="1:13" ht="15" thickBot="1">
      <c r="A20" s="137"/>
      <c r="B20" s="67" t="s">
        <v>28</v>
      </c>
      <c r="C20" s="78">
        <v>3000</v>
      </c>
      <c r="D20" s="72">
        <f>2720+580</f>
        <v>3300</v>
      </c>
      <c r="E20" s="142">
        <v>0</v>
      </c>
      <c r="F20" s="19">
        <f t="shared" ref="F20:F21" si="0">E20*0.2</f>
        <v>0</v>
      </c>
      <c r="J20" s="111" t="s">
        <v>153</v>
      </c>
      <c r="K20" s="124">
        <f>K18/K16</f>
        <v>7.2495662482828668E-2</v>
      </c>
    </row>
    <row r="21" spans="1:13">
      <c r="A21" s="137"/>
      <c r="B21" s="67" t="s">
        <v>29</v>
      </c>
      <c r="C21" s="78">
        <v>6363</v>
      </c>
      <c r="D21" s="72">
        <v>7420.5</v>
      </c>
      <c r="E21" s="63">
        <v>7500</v>
      </c>
      <c r="F21" s="19">
        <f t="shared" si="0"/>
        <v>1500</v>
      </c>
    </row>
    <row r="22" spans="1:13">
      <c r="A22" s="137"/>
      <c r="B22" s="67" t="s">
        <v>30</v>
      </c>
      <c r="C22" s="78">
        <v>4000</v>
      </c>
      <c r="D22" s="72">
        <v>4000</v>
      </c>
      <c r="E22" s="142">
        <v>0</v>
      </c>
      <c r="F22" s="19">
        <f>E22*0.2</f>
        <v>0</v>
      </c>
    </row>
    <row r="23" spans="1:13">
      <c r="A23" s="138"/>
      <c r="B23" s="67" t="s">
        <v>31</v>
      </c>
      <c r="C23" s="78">
        <v>800</v>
      </c>
      <c r="D23" s="72">
        <v>895</v>
      </c>
      <c r="E23" s="63">
        <v>920</v>
      </c>
      <c r="F23" s="19" t="s">
        <v>97</v>
      </c>
      <c r="J23" t="s">
        <v>171</v>
      </c>
      <c r="K23" s="13">
        <v>56.61</v>
      </c>
      <c r="L23" s="19"/>
    </row>
    <row r="24" spans="1:13" ht="15" thickBot="1">
      <c r="A24" s="10"/>
      <c r="B24" s="69"/>
      <c r="C24" s="79"/>
      <c r="D24" s="73"/>
      <c r="E24" s="65"/>
      <c r="J24" t="s">
        <v>137</v>
      </c>
      <c r="K24" s="13">
        <f>K14/950.53</f>
        <v>59.959698273594732</v>
      </c>
      <c r="L24" s="19">
        <f>K24-K23</f>
        <v>3.3496982735947327</v>
      </c>
      <c r="M24" s="98">
        <f>L24/K23</f>
        <v>5.917149396917034E-2</v>
      </c>
    </row>
    <row r="25" spans="1:13" ht="15" thickBot="1">
      <c r="A25" s="139" t="s">
        <v>13</v>
      </c>
      <c r="B25" s="67" t="s">
        <v>32</v>
      </c>
      <c r="C25" s="78">
        <v>600</v>
      </c>
      <c r="D25" s="72">
        <v>368</v>
      </c>
      <c r="E25" s="63">
        <v>600</v>
      </c>
      <c r="F25" s="19" t="s">
        <v>97</v>
      </c>
      <c r="K25" s="13"/>
      <c r="L25" s="19"/>
    </row>
    <row r="26" spans="1:13" ht="15" thickBot="1">
      <c r="A26" s="140"/>
      <c r="B26" s="67" t="s">
        <v>33</v>
      </c>
      <c r="C26" s="78">
        <v>800</v>
      </c>
      <c r="D26" s="72">
        <v>700</v>
      </c>
      <c r="E26" s="63">
        <v>800</v>
      </c>
      <c r="F26" s="19" t="s">
        <v>97</v>
      </c>
    </row>
    <row r="27" spans="1:13">
      <c r="A27" s="11"/>
      <c r="B27" s="69"/>
      <c r="C27" s="79"/>
      <c r="D27" s="73"/>
      <c r="E27" s="65"/>
      <c r="J27" s="130" t="s">
        <v>156</v>
      </c>
      <c r="K27" s="131"/>
    </row>
    <row r="28" spans="1:13">
      <c r="A28" s="12"/>
      <c r="B28" s="70" t="s">
        <v>92</v>
      </c>
      <c r="C28" s="78">
        <v>2000</v>
      </c>
      <c r="D28" s="72">
        <v>1991</v>
      </c>
      <c r="E28" s="63">
        <v>2000</v>
      </c>
      <c r="F28" s="19" t="s">
        <v>97</v>
      </c>
      <c r="J28" s="132" t="s">
        <v>157</v>
      </c>
      <c r="K28" s="133"/>
    </row>
    <row r="29" spans="1:13">
      <c r="A29" s="12"/>
      <c r="B29" s="67" t="s">
        <v>34</v>
      </c>
      <c r="C29" s="80">
        <v>60</v>
      </c>
      <c r="D29" s="74">
        <v>0</v>
      </c>
      <c r="E29" s="63">
        <v>60</v>
      </c>
      <c r="F29" s="19" t="s">
        <v>97</v>
      </c>
      <c r="J29" s="119" t="s">
        <v>212</v>
      </c>
      <c r="K29" s="120"/>
    </row>
    <row r="30" spans="1:13" ht="15" thickBot="1">
      <c r="A30" s="58"/>
      <c r="B30" s="62"/>
      <c r="C30" s="81"/>
      <c r="D30" s="75"/>
      <c r="E30" s="66"/>
      <c r="J30" s="135" t="s">
        <v>158</v>
      </c>
      <c r="K30" s="136"/>
    </row>
    <row r="31" spans="1:13" ht="15" thickBot="1">
      <c r="C31" s="82">
        <f>SUM(C2:C29)</f>
        <v>53141</v>
      </c>
      <c r="D31" s="2">
        <f>SUM(D2:D29)</f>
        <v>54824.23</v>
      </c>
      <c r="E31" s="100">
        <f>SUM(E2:E29)</f>
        <v>60828.292000000001</v>
      </c>
      <c r="F31" s="19">
        <f>F21+F20+F18+F15+F14+F8+F6+F17</f>
        <v>3061.8</v>
      </c>
      <c r="J31" s="13"/>
    </row>
  </sheetData>
  <mergeCells count="7">
    <mergeCell ref="J30:K30"/>
    <mergeCell ref="A2:A4"/>
    <mergeCell ref="A7:A15"/>
    <mergeCell ref="A18:A23"/>
    <mergeCell ref="A25:A26"/>
    <mergeCell ref="J27:K27"/>
    <mergeCell ref="J28:K28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95647-98EB-48CA-8C67-B03B1F678EB9}">
  <dimension ref="A1:M31"/>
  <sheetViews>
    <sheetView topLeftCell="A10" workbookViewId="0">
      <selection activeCell="M24" sqref="M24"/>
    </sheetView>
  </sheetViews>
  <sheetFormatPr defaultRowHeight="14.4"/>
  <cols>
    <col min="1" max="1" width="17.33203125" customWidth="1"/>
    <col min="2" max="2" width="30.77734375" style="61" customWidth="1"/>
    <col min="3" max="3" width="9.88671875" style="1" bestFit="1" customWidth="1"/>
    <col min="4" max="4" width="16" bestFit="1" customWidth="1"/>
    <col min="5" max="5" width="16.6640625" style="13" bestFit="1" customWidth="1"/>
    <col min="6" max="6" width="8.88671875" style="19"/>
    <col min="10" max="10" width="38.33203125" bestFit="1" customWidth="1"/>
    <col min="11" max="11" width="10.33203125" customWidth="1"/>
  </cols>
  <sheetData>
    <row r="1" spans="1:12" ht="15" thickBot="1">
      <c r="C1" s="76" t="s">
        <v>7</v>
      </c>
      <c r="D1" s="71" t="s">
        <v>65</v>
      </c>
      <c r="E1" s="64" t="s">
        <v>35</v>
      </c>
      <c r="I1" s="87" t="s">
        <v>93</v>
      </c>
      <c r="J1" s="83">
        <f>SUM(K2:K4)</f>
        <v>4734.8</v>
      </c>
    </row>
    <row r="2" spans="1:12" ht="15" thickBot="1">
      <c r="A2" s="126" t="s">
        <v>10</v>
      </c>
      <c r="B2" s="67" t="s">
        <v>14</v>
      </c>
      <c r="C2" s="77">
        <v>13610</v>
      </c>
      <c r="D2" s="72">
        <v>15233</v>
      </c>
      <c r="E2" s="63">
        <f>5964+660+8387+437</f>
        <v>15448</v>
      </c>
      <c r="F2" s="19" t="s">
        <v>97</v>
      </c>
      <c r="J2" t="s">
        <v>94</v>
      </c>
      <c r="K2" s="3">
        <v>773</v>
      </c>
    </row>
    <row r="3" spans="1:12" ht="15" thickBot="1">
      <c r="A3" s="127"/>
      <c r="B3" s="68" t="s">
        <v>15</v>
      </c>
      <c r="C3" s="78">
        <v>5040</v>
      </c>
      <c r="D3" s="72">
        <v>4160</v>
      </c>
      <c r="E3" s="63">
        <v>4400</v>
      </c>
      <c r="F3" s="19" t="s">
        <v>97</v>
      </c>
      <c r="J3" t="s">
        <v>95</v>
      </c>
      <c r="K3" s="3">
        <f>F31</f>
        <v>3961.8</v>
      </c>
    </row>
    <row r="4" spans="1:12" ht="15" thickBot="1">
      <c r="A4" s="127"/>
      <c r="B4" s="68" t="s">
        <v>16</v>
      </c>
      <c r="C4" s="78">
        <v>6660</v>
      </c>
      <c r="D4" s="72">
        <v>6495</v>
      </c>
      <c r="E4" s="63">
        <v>6800</v>
      </c>
      <c r="F4" s="19" t="s">
        <v>97</v>
      </c>
      <c r="J4" t="s">
        <v>96</v>
      </c>
      <c r="K4" s="3">
        <v>0</v>
      </c>
    </row>
    <row r="5" spans="1:12">
      <c r="A5" s="8"/>
      <c r="B5" s="69"/>
      <c r="C5" s="79"/>
      <c r="D5" s="73"/>
      <c r="E5" s="65"/>
      <c r="K5" s="3"/>
    </row>
    <row r="6" spans="1:12" ht="15" thickBot="1">
      <c r="A6" s="59"/>
      <c r="B6" s="67" t="s">
        <v>17</v>
      </c>
      <c r="C6" s="78">
        <v>300</v>
      </c>
      <c r="D6" s="72">
        <v>480</v>
      </c>
      <c r="E6" s="63">
        <v>400</v>
      </c>
      <c r="F6" s="19">
        <f>E6*0.2</f>
        <v>80</v>
      </c>
      <c r="K6" s="3"/>
    </row>
    <row r="7" spans="1:12" ht="15" thickBot="1">
      <c r="A7" s="128" t="s">
        <v>11</v>
      </c>
      <c r="B7" s="67" t="s">
        <v>18</v>
      </c>
      <c r="C7" s="78">
        <v>250</v>
      </c>
      <c r="D7" s="72">
        <v>0</v>
      </c>
      <c r="E7" s="63">
        <v>65</v>
      </c>
      <c r="J7" s="85" t="s">
        <v>98</v>
      </c>
      <c r="K7" s="86">
        <f>SUM(F22)</f>
        <v>6073.2000000000007</v>
      </c>
    </row>
    <row r="8" spans="1:12" ht="26.4">
      <c r="A8" s="129"/>
      <c r="B8" s="67" t="s">
        <v>19</v>
      </c>
      <c r="C8" s="78">
        <v>300</v>
      </c>
      <c r="D8" s="72">
        <v>250</v>
      </c>
      <c r="E8" s="63">
        <v>500</v>
      </c>
      <c r="F8" s="19">
        <f>E8*0.2</f>
        <v>100</v>
      </c>
    </row>
    <row r="9" spans="1:12">
      <c r="A9" s="129"/>
      <c r="B9" s="67" t="s">
        <v>20</v>
      </c>
      <c r="C9" s="78">
        <v>300</v>
      </c>
      <c r="D9" s="72">
        <v>439</v>
      </c>
      <c r="E9" s="63">
        <v>450</v>
      </c>
      <c r="F9" s="19" t="s">
        <v>97</v>
      </c>
    </row>
    <row r="10" spans="1:12">
      <c r="A10" s="129"/>
      <c r="B10" s="67" t="s">
        <v>21</v>
      </c>
      <c r="C10" s="78">
        <v>72</v>
      </c>
      <c r="D10" s="72">
        <v>72</v>
      </c>
      <c r="E10" s="63">
        <v>72</v>
      </c>
      <c r="F10" s="19" t="s">
        <v>97</v>
      </c>
    </row>
    <row r="11" spans="1:12">
      <c r="A11" s="129"/>
      <c r="B11" s="67" t="s">
        <v>22</v>
      </c>
      <c r="C11" s="78">
        <v>1290</v>
      </c>
      <c r="D11" s="72">
        <v>1290</v>
      </c>
      <c r="E11" s="63">
        <f>1290+(1290*0.03)</f>
        <v>1328.7</v>
      </c>
      <c r="F11" s="19" t="s">
        <v>97</v>
      </c>
      <c r="J11" t="s">
        <v>7</v>
      </c>
      <c r="K11" s="13">
        <f>SUM(E31)</f>
        <v>95455.292000000001</v>
      </c>
    </row>
    <row r="12" spans="1:12">
      <c r="A12" s="129"/>
      <c r="B12" s="67" t="s">
        <v>23</v>
      </c>
      <c r="C12" s="78">
        <v>3856</v>
      </c>
      <c r="D12" s="72">
        <v>3894</v>
      </c>
      <c r="E12" s="63">
        <f>3856*0.0445+3856</f>
        <v>4027.5920000000001</v>
      </c>
      <c r="F12" s="19" t="s">
        <v>97</v>
      </c>
      <c r="J12" t="s">
        <v>138</v>
      </c>
      <c r="K12" s="3">
        <f>J1</f>
        <v>4734.8</v>
      </c>
    </row>
    <row r="13" spans="1:12" ht="15" thickBot="1">
      <c r="A13" s="129"/>
      <c r="B13" s="67" t="s">
        <v>24</v>
      </c>
      <c r="C13" s="78">
        <v>1600</v>
      </c>
      <c r="D13" s="72">
        <v>1235</v>
      </c>
      <c r="E13" s="63">
        <v>1300</v>
      </c>
      <c r="F13" s="19" t="s">
        <v>97</v>
      </c>
      <c r="J13" t="s">
        <v>139</v>
      </c>
      <c r="K13" s="3">
        <f>K7</f>
        <v>6073.2000000000007</v>
      </c>
    </row>
    <row r="14" spans="1:12" ht="27" thickBot="1">
      <c r="A14" s="129"/>
      <c r="B14" s="67" t="s">
        <v>25</v>
      </c>
      <c r="C14" s="78">
        <v>700</v>
      </c>
      <c r="D14" s="72">
        <v>541.73</v>
      </c>
      <c r="E14" s="63">
        <v>569</v>
      </c>
      <c r="F14" s="19">
        <f>E14*0.2</f>
        <v>113.80000000000001</v>
      </c>
      <c r="J14" t="s">
        <v>140</v>
      </c>
      <c r="K14" s="101">
        <f>K11-K12-K13</f>
        <v>84647.292000000001</v>
      </c>
    </row>
    <row r="15" spans="1:12">
      <c r="A15" s="129"/>
      <c r="B15" s="67" t="s">
        <v>26</v>
      </c>
      <c r="C15" s="78">
        <v>540</v>
      </c>
      <c r="D15" s="72">
        <v>560</v>
      </c>
      <c r="E15" s="63">
        <v>588</v>
      </c>
      <c r="F15" s="19">
        <f>340*0.2</f>
        <v>68</v>
      </c>
      <c r="L15" s="13"/>
    </row>
    <row r="16" spans="1:12">
      <c r="A16" s="9"/>
      <c r="B16" s="69"/>
      <c r="C16" s="79"/>
      <c r="D16" s="73"/>
      <c r="E16" s="65"/>
      <c r="J16" t="s">
        <v>152</v>
      </c>
      <c r="K16" s="104">
        <f>C31</f>
        <v>53141</v>
      </c>
    </row>
    <row r="17" spans="1:13">
      <c r="A17" s="99"/>
      <c r="B17" s="94" t="s">
        <v>135</v>
      </c>
      <c r="C17" s="95"/>
      <c r="D17" s="96"/>
      <c r="E17" s="97">
        <v>8000</v>
      </c>
      <c r="F17" s="19">
        <f>E17*0.2</f>
        <v>1600</v>
      </c>
    </row>
    <row r="18" spans="1:13">
      <c r="A18" s="137" t="s">
        <v>12</v>
      </c>
      <c r="B18" s="67" t="s">
        <v>27</v>
      </c>
      <c r="C18" s="78">
        <v>1000</v>
      </c>
      <c r="D18" s="72">
        <v>1500</v>
      </c>
      <c r="E18" s="63">
        <v>1000</v>
      </c>
      <c r="F18" s="19">
        <f>E18*0.2</f>
        <v>200</v>
      </c>
      <c r="J18" t="s">
        <v>136</v>
      </c>
      <c r="K18" s="13">
        <f>K14-K16</f>
        <v>31506.292000000001</v>
      </c>
    </row>
    <row r="19" spans="1:13" ht="15" thickBot="1">
      <c r="A19" s="137"/>
      <c r="B19" s="67" t="s">
        <v>142</v>
      </c>
      <c r="C19" s="78"/>
      <c r="D19" s="72"/>
      <c r="E19" s="63">
        <v>6761</v>
      </c>
      <c r="F19" s="19" t="s">
        <v>97</v>
      </c>
    </row>
    <row r="20" spans="1:13" ht="15" thickBot="1">
      <c r="A20" s="137"/>
      <c r="B20" s="67" t="s">
        <v>28</v>
      </c>
      <c r="C20" s="78">
        <v>3000</v>
      </c>
      <c r="D20" s="72">
        <f>2720+580</f>
        <v>3300</v>
      </c>
      <c r="E20" s="63">
        <v>1500</v>
      </c>
      <c r="F20" s="19">
        <f t="shared" ref="F20:F21" si="0">E20*0.2</f>
        <v>300</v>
      </c>
      <c r="J20" s="111" t="s">
        <v>153</v>
      </c>
      <c r="K20" s="124">
        <f>K18/K16</f>
        <v>0.59288105229483834</v>
      </c>
    </row>
    <row r="21" spans="1:13">
      <c r="A21" s="137"/>
      <c r="B21" s="67" t="s">
        <v>29</v>
      </c>
      <c r="C21" s="78">
        <v>6363</v>
      </c>
      <c r="D21" s="72">
        <v>7420.5</v>
      </c>
      <c r="E21" s="63">
        <v>7500</v>
      </c>
      <c r="F21" s="19">
        <f t="shared" si="0"/>
        <v>1500</v>
      </c>
    </row>
    <row r="22" spans="1:13">
      <c r="A22" s="137"/>
      <c r="B22" s="67" t="s">
        <v>30</v>
      </c>
      <c r="C22" s="78">
        <v>4000</v>
      </c>
      <c r="D22" s="72">
        <v>4000</v>
      </c>
      <c r="E22" s="63">
        <f>21291+9075</f>
        <v>30366</v>
      </c>
      <c r="F22" s="19">
        <f>E22*0.2</f>
        <v>6073.2000000000007</v>
      </c>
    </row>
    <row r="23" spans="1:13">
      <c r="A23" s="138"/>
      <c r="B23" s="67" t="s">
        <v>31</v>
      </c>
      <c r="C23" s="78">
        <v>800</v>
      </c>
      <c r="D23" s="72">
        <v>895</v>
      </c>
      <c r="E23" s="63">
        <v>920</v>
      </c>
      <c r="F23" s="19" t="s">
        <v>97</v>
      </c>
      <c r="J23" t="s">
        <v>171</v>
      </c>
      <c r="K23" s="13">
        <v>56.61</v>
      </c>
      <c r="L23" s="19"/>
    </row>
    <row r="24" spans="1:13" ht="15" thickBot="1">
      <c r="A24" s="10"/>
      <c r="B24" s="69"/>
      <c r="C24" s="79"/>
      <c r="D24" s="73"/>
      <c r="E24" s="65"/>
      <c r="J24" t="s">
        <v>137</v>
      </c>
      <c r="K24" s="13">
        <f>K14/950.53</f>
        <v>89.052730581885896</v>
      </c>
      <c r="L24" s="19">
        <f>K24-K23</f>
        <v>32.442730581885897</v>
      </c>
      <c r="M24" s="98">
        <f>L24/K23</f>
        <v>0.57309186684129831</v>
      </c>
    </row>
    <row r="25" spans="1:13" ht="15" thickBot="1">
      <c r="A25" s="139" t="s">
        <v>13</v>
      </c>
      <c r="B25" s="67" t="s">
        <v>32</v>
      </c>
      <c r="C25" s="78">
        <v>600</v>
      </c>
      <c r="D25" s="72">
        <v>368</v>
      </c>
      <c r="E25" s="63">
        <v>600</v>
      </c>
      <c r="F25" s="19" t="s">
        <v>97</v>
      </c>
      <c r="K25" s="13"/>
      <c r="L25" s="19"/>
    </row>
    <row r="26" spans="1:13" ht="15" thickBot="1">
      <c r="A26" s="140"/>
      <c r="B26" s="67" t="s">
        <v>33</v>
      </c>
      <c r="C26" s="78">
        <v>800</v>
      </c>
      <c r="D26" s="72">
        <v>700</v>
      </c>
      <c r="E26" s="63">
        <v>800</v>
      </c>
      <c r="F26" s="19" t="s">
        <v>97</v>
      </c>
    </row>
    <row r="27" spans="1:13">
      <c r="A27" s="11"/>
      <c r="B27" s="69"/>
      <c r="C27" s="79"/>
      <c r="D27" s="73"/>
      <c r="E27" s="65"/>
      <c r="J27" s="108" t="s">
        <v>211</v>
      </c>
    </row>
    <row r="28" spans="1:13">
      <c r="A28" s="12"/>
      <c r="B28" s="70" t="s">
        <v>92</v>
      </c>
      <c r="C28" s="78">
        <v>2000</v>
      </c>
      <c r="D28" s="72">
        <v>1991</v>
      </c>
      <c r="E28" s="63">
        <v>2000</v>
      </c>
      <c r="F28" s="19" t="s">
        <v>97</v>
      </c>
      <c r="J28" s="107" t="s">
        <v>159</v>
      </c>
    </row>
    <row r="29" spans="1:13">
      <c r="A29" s="12"/>
      <c r="B29" s="67" t="s">
        <v>34</v>
      </c>
      <c r="C29" s="80">
        <v>60</v>
      </c>
      <c r="D29" s="74">
        <v>0</v>
      </c>
      <c r="E29" s="63">
        <v>60</v>
      </c>
      <c r="F29" s="19" t="s">
        <v>97</v>
      </c>
      <c r="J29" s="107" t="s">
        <v>160</v>
      </c>
    </row>
    <row r="30" spans="1:13" ht="15" thickBot="1">
      <c r="A30" s="58"/>
      <c r="B30" s="62"/>
      <c r="C30" s="81"/>
      <c r="D30" s="75"/>
      <c r="E30" s="66"/>
      <c r="J30" s="110" t="s">
        <v>161</v>
      </c>
    </row>
    <row r="31" spans="1:13" ht="15" thickBot="1">
      <c r="C31" s="82">
        <f>SUM(C2:C29)</f>
        <v>53141</v>
      </c>
      <c r="D31" s="2">
        <f>SUM(D2:D29)</f>
        <v>54824.23</v>
      </c>
      <c r="E31" s="100">
        <f>SUM(E2:E29)</f>
        <v>95455.292000000001</v>
      </c>
      <c r="F31" s="19">
        <f>F21+F20+F18+F15+F14+F8+F6+F17</f>
        <v>3961.8</v>
      </c>
    </row>
  </sheetData>
  <mergeCells count="4">
    <mergeCell ref="A2:A4"/>
    <mergeCell ref="A7:A15"/>
    <mergeCell ref="A18:A23"/>
    <mergeCell ref="A25:A26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B80F1-1AEF-4D03-B5EC-F5BCDB664A4C}">
  <dimension ref="A1:F12"/>
  <sheetViews>
    <sheetView workbookViewId="0">
      <selection activeCell="F2" sqref="F2:F4"/>
    </sheetView>
  </sheetViews>
  <sheetFormatPr defaultRowHeight="14.4"/>
  <cols>
    <col min="2" max="2" width="25.6640625" bestFit="1" customWidth="1"/>
    <col min="3" max="4" width="10" style="13" bestFit="1" customWidth="1"/>
  </cols>
  <sheetData>
    <row r="1" spans="1:6" ht="15" thickBot="1">
      <c r="A1" s="60" t="s">
        <v>143</v>
      </c>
      <c r="C1" s="102">
        <v>17000</v>
      </c>
    </row>
    <row r="2" spans="1:6" ht="15" thickTop="1">
      <c r="B2" t="s">
        <v>144</v>
      </c>
      <c r="D2" s="13">
        <v>6084</v>
      </c>
      <c r="F2" t="s">
        <v>145</v>
      </c>
    </row>
    <row r="3" spans="1:6">
      <c r="B3" t="s">
        <v>154</v>
      </c>
      <c r="D3" s="13">
        <v>1000</v>
      </c>
      <c r="F3" t="s">
        <v>145</v>
      </c>
    </row>
    <row r="4" spans="1:6">
      <c r="B4" t="s">
        <v>155</v>
      </c>
      <c r="D4" s="13">
        <v>1919.66</v>
      </c>
      <c r="F4" t="s">
        <v>145</v>
      </c>
    </row>
    <row r="5" spans="1:6">
      <c r="B5" t="s">
        <v>150</v>
      </c>
      <c r="D5" s="13">
        <v>1235</v>
      </c>
    </row>
    <row r="6" spans="1:6">
      <c r="D6" s="13">
        <f>SUM(D2:D5)</f>
        <v>10238.66</v>
      </c>
    </row>
    <row r="8" spans="1:6">
      <c r="B8" t="s">
        <v>146</v>
      </c>
      <c r="C8" s="13">
        <f>C1-D6</f>
        <v>6761.34</v>
      </c>
    </row>
    <row r="10" spans="1:6">
      <c r="B10" t="s">
        <v>147</v>
      </c>
    </row>
    <row r="11" spans="1:6">
      <c r="B11" t="s">
        <v>148</v>
      </c>
    </row>
    <row r="12" spans="1:6">
      <c r="B12" t="s">
        <v>149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BB2BC-ED39-4FE5-9082-641F13CDBD60}">
  <dimension ref="A1:D21"/>
  <sheetViews>
    <sheetView workbookViewId="0">
      <selection activeCell="H15" sqref="H15"/>
    </sheetView>
  </sheetViews>
  <sheetFormatPr defaultRowHeight="14.4"/>
  <sheetData>
    <row r="1" spans="1:4">
      <c r="A1" t="s">
        <v>36</v>
      </c>
      <c r="B1" t="s">
        <v>37</v>
      </c>
    </row>
    <row r="2" spans="1:4">
      <c r="A2" t="s">
        <v>38</v>
      </c>
      <c r="B2" t="s">
        <v>39</v>
      </c>
    </row>
    <row r="3" spans="1:4">
      <c r="A3" t="s">
        <v>40</v>
      </c>
      <c r="B3" t="s">
        <v>41</v>
      </c>
    </row>
    <row r="4" spans="1:4">
      <c r="A4" t="s">
        <v>42</v>
      </c>
      <c r="B4" t="s">
        <v>43</v>
      </c>
    </row>
    <row r="5" spans="1:4">
      <c r="A5" t="s">
        <v>44</v>
      </c>
      <c r="B5" t="s">
        <v>45</v>
      </c>
    </row>
    <row r="6" spans="1:4">
      <c r="A6" t="s">
        <v>46</v>
      </c>
      <c r="B6" t="s">
        <v>47</v>
      </c>
    </row>
    <row r="7" spans="1:4">
      <c r="A7" t="s">
        <v>48</v>
      </c>
      <c r="B7" t="s">
        <v>49</v>
      </c>
    </row>
    <row r="8" spans="1:4">
      <c r="A8" t="s">
        <v>50</v>
      </c>
    </row>
    <row r="9" spans="1:4" ht="15" thickBot="1">
      <c r="A9" t="s">
        <v>51</v>
      </c>
      <c r="B9" s="14">
        <v>0.5</v>
      </c>
    </row>
    <row r="10" spans="1:4">
      <c r="A10" t="s">
        <v>52</v>
      </c>
      <c r="B10" s="15">
        <v>1.1000000000000001</v>
      </c>
    </row>
    <row r="11" spans="1:4">
      <c r="A11" t="s">
        <v>53</v>
      </c>
      <c r="B11" s="16">
        <v>1.3</v>
      </c>
    </row>
    <row r="12" spans="1:4">
      <c r="A12" t="s">
        <v>54</v>
      </c>
      <c r="B12" s="16">
        <v>0.9</v>
      </c>
    </row>
    <row r="13" spans="1:4">
      <c r="A13" t="s">
        <v>55</v>
      </c>
      <c r="B13" s="16">
        <v>1.2</v>
      </c>
    </row>
    <row r="14" spans="1:4">
      <c r="A14" t="s">
        <v>56</v>
      </c>
      <c r="B14" s="16">
        <v>1.4</v>
      </c>
    </row>
    <row r="15" spans="1:4">
      <c r="A15" t="s">
        <v>57</v>
      </c>
      <c r="B15" s="16">
        <v>1.4</v>
      </c>
      <c r="D15" s="17" t="s">
        <v>58</v>
      </c>
    </row>
    <row r="16" spans="1:4">
      <c r="A16" t="s">
        <v>59</v>
      </c>
      <c r="B16" s="16">
        <v>1.5</v>
      </c>
    </row>
    <row r="17" spans="1:2">
      <c r="A17" t="s">
        <v>60</v>
      </c>
      <c r="B17" s="16">
        <v>2.9</v>
      </c>
    </row>
    <row r="18" spans="1:2">
      <c r="A18" t="s">
        <v>61</v>
      </c>
      <c r="B18" s="16">
        <v>3.3</v>
      </c>
    </row>
    <row r="19" spans="1:2">
      <c r="A19" t="s">
        <v>62</v>
      </c>
      <c r="B19" s="16">
        <v>3.9</v>
      </c>
    </row>
    <row r="20" spans="1:2">
      <c r="A20" t="s">
        <v>63</v>
      </c>
      <c r="B20" s="16">
        <v>3.8</v>
      </c>
    </row>
    <row r="21" spans="1:2" ht="15" thickBot="1">
      <c r="A21" t="s">
        <v>64</v>
      </c>
      <c r="B21" s="18">
        <v>4.8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2A3F5-56F1-461B-8338-1CB51A04D59B}">
  <dimension ref="A1:G64"/>
  <sheetViews>
    <sheetView workbookViewId="0">
      <selection activeCell="D8" sqref="D8"/>
    </sheetView>
  </sheetViews>
  <sheetFormatPr defaultRowHeight="13.2"/>
  <cols>
    <col min="1" max="1" width="31.44140625" style="21" bestFit="1" customWidth="1"/>
    <col min="2" max="2" width="8.5546875" style="21" bestFit="1" customWidth="1"/>
    <col min="3" max="3" width="29.44140625" style="21" customWidth="1"/>
    <col min="4" max="4" width="22.21875" style="25" customWidth="1"/>
    <col min="5" max="5" width="23.5546875" style="21" customWidth="1"/>
    <col min="6" max="16384" width="8.88671875" style="21"/>
  </cols>
  <sheetData>
    <row r="1" spans="1:7" ht="15.6">
      <c r="A1" s="20" t="s">
        <v>66</v>
      </c>
      <c r="D1" s="22">
        <f>SUM(D4:D64)</f>
        <v>86995</v>
      </c>
    </row>
    <row r="2" spans="1:7">
      <c r="B2" s="23"/>
      <c r="C2" s="24"/>
      <c r="E2" s="26"/>
    </row>
    <row r="3" spans="1:7" ht="26.4">
      <c r="A3" s="27" t="s">
        <v>67</v>
      </c>
      <c r="B3" s="27" t="s">
        <v>68</v>
      </c>
      <c r="C3" s="27" t="s">
        <v>69</v>
      </c>
      <c r="D3" s="28" t="s">
        <v>70</v>
      </c>
      <c r="E3" s="29" t="s">
        <v>100</v>
      </c>
    </row>
    <row r="4" spans="1:7">
      <c r="A4" s="30" t="s">
        <v>80</v>
      </c>
      <c r="B4" s="31" t="s">
        <v>72</v>
      </c>
      <c r="C4" s="32" t="s">
        <v>73</v>
      </c>
      <c r="D4" s="53">
        <f>15149/2</f>
        <v>7574.5</v>
      </c>
      <c r="E4" s="34" t="s">
        <v>151</v>
      </c>
    </row>
    <row r="5" spans="1:7" ht="26.4">
      <c r="A5" s="30" t="s">
        <v>80</v>
      </c>
      <c r="B5" s="31" t="s">
        <v>72</v>
      </c>
      <c r="C5" s="32" t="s">
        <v>88</v>
      </c>
      <c r="D5" s="53">
        <v>756</v>
      </c>
      <c r="E5" s="34"/>
    </row>
    <row r="6" spans="1:7">
      <c r="A6" s="30" t="s">
        <v>80</v>
      </c>
      <c r="B6" s="31" t="s">
        <v>74</v>
      </c>
      <c r="C6" s="32" t="s">
        <v>75</v>
      </c>
      <c r="D6" s="53">
        <f>1500/2</f>
        <v>750</v>
      </c>
      <c r="E6" s="34" t="s">
        <v>151</v>
      </c>
    </row>
    <row r="7" spans="1:7" ht="13.8" thickBot="1">
      <c r="A7" s="30" t="s">
        <v>80</v>
      </c>
      <c r="B7" s="31" t="s">
        <v>74</v>
      </c>
      <c r="C7" s="32" t="s">
        <v>89</v>
      </c>
      <c r="D7" s="53">
        <f>1500/2</f>
        <v>750</v>
      </c>
      <c r="E7" s="34" t="s">
        <v>151</v>
      </c>
    </row>
    <row r="8" spans="1:7" ht="13.8" thickBot="1">
      <c r="A8" s="30" t="s">
        <v>80</v>
      </c>
      <c r="B8" s="30" t="s">
        <v>76</v>
      </c>
      <c r="C8" s="32" t="s">
        <v>90</v>
      </c>
      <c r="D8" s="53">
        <v>6500</v>
      </c>
      <c r="E8" s="34"/>
      <c r="G8" s="84">
        <f>SUM(D4:D15)-10000-12600</f>
        <v>21290.5</v>
      </c>
    </row>
    <row r="9" spans="1:7">
      <c r="A9" s="30" t="s">
        <v>80</v>
      </c>
      <c r="B9" s="30" t="s">
        <v>76</v>
      </c>
      <c r="C9" s="32" t="s">
        <v>91</v>
      </c>
      <c r="D9" s="53">
        <v>3000</v>
      </c>
      <c r="E9" s="34"/>
    </row>
    <row r="10" spans="1:7">
      <c r="A10" s="30" t="s">
        <v>80</v>
      </c>
      <c r="B10" s="30" t="s">
        <v>76</v>
      </c>
      <c r="C10" s="35" t="s">
        <v>77</v>
      </c>
      <c r="D10" s="109">
        <v>680</v>
      </c>
      <c r="E10" s="34"/>
    </row>
    <row r="11" spans="1:7">
      <c r="A11" s="30" t="s">
        <v>80</v>
      </c>
      <c r="B11" s="30" t="s">
        <v>76</v>
      </c>
      <c r="C11" s="35" t="s">
        <v>78</v>
      </c>
      <c r="D11" s="109">
        <v>200</v>
      </c>
      <c r="E11" s="39"/>
    </row>
    <row r="12" spans="1:7">
      <c r="A12" s="30" t="s">
        <v>80</v>
      </c>
      <c r="B12" s="30" t="s">
        <v>76</v>
      </c>
      <c r="C12" s="35" t="s">
        <v>79</v>
      </c>
      <c r="D12" s="109">
        <v>200</v>
      </c>
      <c r="E12" s="39"/>
    </row>
    <row r="13" spans="1:7">
      <c r="A13" s="31" t="s">
        <v>80</v>
      </c>
      <c r="B13" s="31" t="s">
        <v>74</v>
      </c>
      <c r="C13" s="32" t="s">
        <v>84</v>
      </c>
      <c r="D13" s="53">
        <v>880</v>
      </c>
      <c r="E13" s="34"/>
    </row>
    <row r="14" spans="1:7">
      <c r="A14" s="31" t="s">
        <v>80</v>
      </c>
      <c r="B14" s="31" t="s">
        <v>74</v>
      </c>
      <c r="C14" s="32" t="s">
        <v>81</v>
      </c>
      <c r="D14" s="33">
        <v>12600</v>
      </c>
      <c r="E14" s="40" t="s">
        <v>99</v>
      </c>
    </row>
    <row r="15" spans="1:7">
      <c r="A15" s="31" t="s">
        <v>80</v>
      </c>
      <c r="B15" s="30" t="s">
        <v>74</v>
      </c>
      <c r="C15" s="35" t="s">
        <v>82</v>
      </c>
      <c r="D15" s="36">
        <v>10000</v>
      </c>
      <c r="E15" s="40" t="s">
        <v>83</v>
      </c>
    </row>
    <row r="16" spans="1:7" ht="5.4" customHeight="1" thickBot="1">
      <c r="A16" s="54"/>
      <c r="B16" s="54"/>
      <c r="C16" s="55"/>
      <c r="D16" s="56"/>
      <c r="E16" s="57"/>
    </row>
    <row r="17" spans="1:7" ht="13.8" thickBot="1">
      <c r="A17" s="31" t="s">
        <v>85</v>
      </c>
      <c r="B17" s="31" t="s">
        <v>76</v>
      </c>
      <c r="C17" s="32" t="s">
        <v>86</v>
      </c>
      <c r="D17" s="33">
        <v>19194</v>
      </c>
      <c r="E17" s="34"/>
      <c r="G17" s="84">
        <f>SUM(D17:D18)</f>
        <v>34030</v>
      </c>
    </row>
    <row r="18" spans="1:7">
      <c r="A18" s="31" t="s">
        <v>85</v>
      </c>
      <c r="B18" s="31" t="s">
        <v>74</v>
      </c>
      <c r="C18" s="32" t="s">
        <v>87</v>
      </c>
      <c r="D18" s="33">
        <v>14836</v>
      </c>
      <c r="E18" s="34"/>
    </row>
    <row r="19" spans="1:7">
      <c r="A19" s="31" t="s">
        <v>85</v>
      </c>
      <c r="B19" s="31" t="s">
        <v>72</v>
      </c>
      <c r="C19" s="32" t="s">
        <v>73</v>
      </c>
      <c r="D19" s="53">
        <f>15149/2</f>
        <v>7574.5</v>
      </c>
      <c r="E19" s="34" t="s">
        <v>151</v>
      </c>
    </row>
    <row r="20" spans="1:7">
      <c r="A20" s="31" t="s">
        <v>85</v>
      </c>
      <c r="B20" s="31" t="s">
        <v>74</v>
      </c>
      <c r="C20" s="32" t="s">
        <v>75</v>
      </c>
      <c r="D20" s="53">
        <f>1500/2</f>
        <v>750</v>
      </c>
      <c r="E20" s="34" t="s">
        <v>151</v>
      </c>
    </row>
    <row r="21" spans="1:7">
      <c r="A21" s="31" t="s">
        <v>85</v>
      </c>
      <c r="B21" s="31" t="s">
        <v>74</v>
      </c>
      <c r="C21" s="32" t="s">
        <v>89</v>
      </c>
      <c r="D21" s="53">
        <f>1500/2</f>
        <v>750</v>
      </c>
      <c r="E21" s="34" t="s">
        <v>151</v>
      </c>
    </row>
    <row r="22" spans="1:7">
      <c r="A22" s="31"/>
      <c r="B22" s="31"/>
      <c r="C22" s="32"/>
      <c r="D22" s="33"/>
      <c r="E22" s="34"/>
    </row>
    <row r="23" spans="1:7">
      <c r="A23" s="31"/>
      <c r="B23" s="31"/>
      <c r="C23" s="32"/>
      <c r="D23" s="33"/>
      <c r="E23" s="34"/>
    </row>
    <row r="24" spans="1:7">
      <c r="A24" s="31"/>
      <c r="B24" s="31"/>
      <c r="C24" s="32"/>
      <c r="D24" s="33"/>
      <c r="E24" s="34"/>
    </row>
    <row r="25" spans="1:7">
      <c r="A25" s="31"/>
      <c r="B25" s="31"/>
      <c r="C25" s="32"/>
      <c r="D25" s="33"/>
      <c r="E25" s="34"/>
    </row>
    <row r="26" spans="1:7">
      <c r="A26" s="41"/>
      <c r="B26" s="41"/>
      <c r="C26" s="42"/>
      <c r="D26" s="38"/>
      <c r="E26" s="43"/>
    </row>
    <row r="27" spans="1:7">
      <c r="A27" s="41"/>
      <c r="B27" s="41"/>
      <c r="C27" s="32"/>
      <c r="D27" s="33"/>
      <c r="E27" s="43"/>
    </row>
    <row r="28" spans="1:7">
      <c r="A28" s="41"/>
      <c r="B28" s="41"/>
      <c r="C28" s="32"/>
      <c r="D28" s="33"/>
      <c r="E28" s="43"/>
    </row>
    <row r="29" spans="1:7">
      <c r="A29" s="41"/>
      <c r="B29" s="41"/>
      <c r="C29" s="42"/>
      <c r="D29" s="36"/>
      <c r="E29" s="43"/>
    </row>
    <row r="30" spans="1:7">
      <c r="A30" s="41"/>
      <c r="B30" s="41"/>
      <c r="C30" s="42"/>
      <c r="D30" s="44"/>
      <c r="E30" s="45"/>
    </row>
    <row r="31" spans="1:7">
      <c r="A31" s="41"/>
      <c r="B31" s="41"/>
      <c r="C31" s="42"/>
      <c r="D31" s="44"/>
      <c r="E31" s="45"/>
    </row>
    <row r="32" spans="1:7">
      <c r="A32" s="41"/>
      <c r="B32" s="41"/>
      <c r="C32" s="42"/>
      <c r="D32" s="44"/>
      <c r="E32" s="45"/>
    </row>
    <row r="33" spans="1:5">
      <c r="A33" s="41"/>
      <c r="B33" s="41"/>
      <c r="C33" s="42"/>
      <c r="D33" s="44"/>
      <c r="E33" s="45"/>
    </row>
    <row r="34" spans="1:5">
      <c r="A34" s="41"/>
      <c r="B34" s="41"/>
      <c r="C34" s="42"/>
      <c r="D34" s="44"/>
      <c r="E34" s="45"/>
    </row>
    <row r="35" spans="1:5">
      <c r="A35" s="41"/>
      <c r="B35" s="41"/>
      <c r="C35" s="42"/>
      <c r="D35" s="44"/>
      <c r="E35" s="45"/>
    </row>
    <row r="36" spans="1:5">
      <c r="A36" s="41"/>
      <c r="B36" s="41"/>
      <c r="C36" s="42"/>
      <c r="D36" s="44"/>
      <c r="E36" s="45"/>
    </row>
    <row r="37" spans="1:5">
      <c r="A37" s="41"/>
      <c r="B37" s="41"/>
      <c r="C37" s="42"/>
      <c r="D37" s="44"/>
      <c r="E37" s="45"/>
    </row>
    <row r="38" spans="1:5">
      <c r="A38" s="41"/>
      <c r="B38" s="41"/>
      <c r="C38" s="42"/>
      <c r="D38" s="44"/>
      <c r="E38" s="45"/>
    </row>
    <row r="39" spans="1:5">
      <c r="A39" s="41"/>
      <c r="B39" s="41"/>
      <c r="C39" s="35"/>
      <c r="D39" s="44"/>
      <c r="E39" s="45"/>
    </row>
    <row r="40" spans="1:5">
      <c r="A40" s="41"/>
      <c r="B40" s="41"/>
      <c r="C40" s="46"/>
      <c r="D40" s="44"/>
      <c r="E40" s="45"/>
    </row>
    <row r="41" spans="1:5">
      <c r="A41" s="41"/>
      <c r="B41" s="41"/>
      <c r="C41" s="47"/>
      <c r="D41" s="44"/>
      <c r="E41" s="45"/>
    </row>
    <row r="42" spans="1:5">
      <c r="A42" s="41"/>
      <c r="B42" s="41"/>
      <c r="C42" s="47"/>
      <c r="D42" s="44"/>
      <c r="E42" s="45"/>
    </row>
    <row r="43" spans="1:5">
      <c r="A43" s="41"/>
      <c r="B43" s="41"/>
      <c r="C43" s="48"/>
      <c r="D43" s="44"/>
      <c r="E43" s="45"/>
    </row>
    <row r="44" spans="1:5">
      <c r="A44" s="41"/>
      <c r="B44" s="41"/>
      <c r="C44" s="48"/>
      <c r="D44" s="44"/>
      <c r="E44" s="45"/>
    </row>
    <row r="45" spans="1:5">
      <c r="A45" s="41"/>
      <c r="B45" s="41"/>
      <c r="C45" s="48"/>
      <c r="D45" s="44"/>
      <c r="E45" s="45"/>
    </row>
    <row r="46" spans="1:5" ht="13.8">
      <c r="A46" s="41"/>
      <c r="B46" s="41"/>
      <c r="C46" s="49"/>
      <c r="D46" s="44"/>
      <c r="E46" s="45"/>
    </row>
    <row r="47" spans="1:5">
      <c r="A47" s="41"/>
      <c r="B47" s="41"/>
      <c r="C47" s="48"/>
      <c r="D47" s="44"/>
      <c r="E47" s="45"/>
    </row>
    <row r="48" spans="1:5">
      <c r="A48" s="50"/>
      <c r="B48" s="50"/>
      <c r="C48" s="48"/>
      <c r="D48" s="51"/>
      <c r="E48" s="43"/>
    </row>
    <row r="49" spans="1:5">
      <c r="A49" s="50"/>
      <c r="B49" s="50"/>
      <c r="C49" s="48"/>
      <c r="D49" s="51"/>
      <c r="E49" s="43"/>
    </row>
    <row r="50" spans="1:5">
      <c r="A50" s="50"/>
      <c r="B50" s="50"/>
      <c r="C50" s="48"/>
      <c r="D50" s="51"/>
      <c r="E50" s="43"/>
    </row>
    <row r="51" spans="1:5">
      <c r="A51" s="50"/>
      <c r="B51" s="50"/>
      <c r="C51" s="48"/>
      <c r="D51" s="51"/>
      <c r="E51" s="43"/>
    </row>
    <row r="52" spans="1:5">
      <c r="A52" s="50"/>
      <c r="B52" s="50"/>
      <c r="C52" s="48"/>
      <c r="D52" s="51"/>
      <c r="E52" s="43"/>
    </row>
    <row r="53" spans="1:5">
      <c r="A53" s="50"/>
      <c r="B53" s="50"/>
      <c r="C53" s="48"/>
      <c r="D53" s="51"/>
      <c r="E53" s="43"/>
    </row>
    <row r="54" spans="1:5">
      <c r="A54" s="50"/>
      <c r="B54" s="50"/>
      <c r="C54" s="48"/>
      <c r="D54" s="51"/>
      <c r="E54" s="43"/>
    </row>
    <row r="55" spans="1:5">
      <c r="A55" s="50"/>
      <c r="B55" s="50"/>
      <c r="C55" s="48"/>
      <c r="D55" s="51"/>
      <c r="E55" s="43"/>
    </row>
    <row r="56" spans="1:5">
      <c r="A56" s="50"/>
      <c r="B56" s="50"/>
      <c r="C56" s="48"/>
      <c r="D56" s="51"/>
      <c r="E56" s="43"/>
    </row>
    <row r="57" spans="1:5">
      <c r="A57" s="50"/>
      <c r="B57" s="50"/>
      <c r="C57" s="37"/>
      <c r="D57" s="38"/>
      <c r="E57" s="52"/>
    </row>
    <row r="58" spans="1:5">
      <c r="A58" s="50"/>
      <c r="B58" s="50"/>
      <c r="C58" s="37"/>
      <c r="D58" s="38"/>
      <c r="E58" s="52"/>
    </row>
    <row r="59" spans="1:5">
      <c r="A59" s="50"/>
      <c r="B59" s="50"/>
      <c r="C59" s="37"/>
      <c r="D59" s="38"/>
      <c r="E59" s="52"/>
    </row>
    <row r="60" spans="1:5">
      <c r="A60" s="50"/>
      <c r="B60" s="50"/>
      <c r="C60" s="37"/>
      <c r="D60" s="38"/>
      <c r="E60" s="52"/>
    </row>
    <row r="61" spans="1:5">
      <c r="A61" s="50"/>
      <c r="B61" s="50"/>
      <c r="C61" s="32"/>
      <c r="D61" s="38"/>
      <c r="E61" s="52"/>
    </row>
    <row r="62" spans="1:5">
      <c r="A62" s="50"/>
      <c r="B62" s="50"/>
      <c r="C62" s="32"/>
      <c r="D62" s="38"/>
      <c r="E62" s="52"/>
    </row>
    <row r="63" spans="1:5">
      <c r="A63" s="50"/>
      <c r="B63" s="50"/>
      <c r="C63" s="32"/>
      <c r="D63" s="38"/>
      <c r="E63" s="52"/>
    </row>
    <row r="64" spans="1:5">
      <c r="A64" s="50"/>
      <c r="B64" s="50"/>
      <c r="C64" s="32"/>
      <c r="D64" s="38"/>
      <c r="E64" s="52"/>
    </row>
  </sheetData>
  <autoFilter ref="A3:E3" xr:uid="{97B04FAE-9897-43AA-8719-35064ADF6D48}">
    <sortState xmlns:xlrd2="http://schemas.microsoft.com/office/spreadsheetml/2017/richdata2" ref="A4:E25">
      <sortCondition ref="A3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BUDGET OVERVIEW</vt:lpstr>
      <vt:lpstr>Previous Budgets</vt:lpstr>
      <vt:lpstr>Recommended Budget</vt:lpstr>
      <vt:lpstr>Sheet1</vt:lpstr>
      <vt:lpstr>Budget Minimum</vt:lpstr>
      <vt:lpstr>Budget Maximum</vt:lpstr>
      <vt:lpstr>General reserve</vt:lpstr>
      <vt:lpstr>RPI</vt:lpstr>
      <vt:lpstr>Capital Works Projects</vt:lpstr>
      <vt:lpstr>Spend By 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 adshead-grant</dc:creator>
  <cp:lastModifiedBy>will adshead-grant</cp:lastModifiedBy>
  <dcterms:created xsi:type="dcterms:W3CDTF">2021-10-17T18:35:22Z</dcterms:created>
  <dcterms:modified xsi:type="dcterms:W3CDTF">2021-11-14T19:24:30Z</dcterms:modified>
</cp:coreProperties>
</file>